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140" activeTab="6"/>
  </bookViews>
  <sheets>
    <sheet name="Unilevel" sheetId="1" r:id="rId1"/>
    <sheet name="TriBrid" sheetId="2" r:id="rId2"/>
    <sheet name="HMsupport" sheetId="3" state="hidden" r:id="rId3"/>
    <sheet name="How many will you sponsor" sheetId="4" r:id="rId4"/>
    <sheet name="How many Customers" sheetId="5" r:id="rId5"/>
    <sheet name="HMCsupport" sheetId="6" state="hidden" r:id="rId6"/>
    <sheet name="Ladder" sheetId="7" r:id="rId7"/>
  </sheets>
  <definedNames/>
  <calcPr fullCalcOnLoad="1"/>
</workbook>
</file>

<file path=xl/sharedStrings.xml><?xml version="1.0" encoding="utf-8"?>
<sst xmlns="http://schemas.openxmlformats.org/spreadsheetml/2006/main" count="190" uniqueCount="110">
  <si>
    <t>Personal</t>
  </si>
  <si>
    <t>Level 2</t>
  </si>
  <si>
    <t>Level 3</t>
  </si>
  <si>
    <t>Level 4</t>
  </si>
  <si>
    <t>Level 5</t>
  </si>
  <si>
    <t>Level 6</t>
  </si>
  <si>
    <t>%</t>
  </si>
  <si>
    <t>Duplication</t>
  </si>
  <si>
    <t>per distributor</t>
  </si>
  <si>
    <t>per level</t>
  </si>
  <si>
    <t xml:space="preserve">Total </t>
  </si>
  <si>
    <t>Distributors</t>
  </si>
  <si>
    <t>Per Level</t>
  </si>
  <si>
    <t>Commission</t>
  </si>
  <si>
    <t>Volume per</t>
  </si>
  <si>
    <t>Yellow Boxes are the data that can be changed.</t>
  </si>
  <si>
    <t>dist. Volume of</t>
  </si>
  <si>
    <t>level at per</t>
  </si>
  <si>
    <t>Avg # Cust./</t>
  </si>
  <si>
    <t>distributor</t>
  </si>
  <si>
    <t xml:space="preserve"> </t>
  </si>
  <si>
    <t>%</t>
  </si>
  <si>
    <t>You</t>
  </si>
  <si>
    <t>Fast Start</t>
  </si>
  <si>
    <t>Bonuses</t>
  </si>
  <si>
    <t>Per level</t>
  </si>
  <si>
    <t>One-time</t>
  </si>
  <si>
    <t>CORE 50</t>
  </si>
  <si>
    <t>Unilevel</t>
  </si>
  <si>
    <t>Totals</t>
  </si>
  <si>
    <t>Monthly</t>
  </si>
  <si>
    <r>
      <rPr>
        <b/>
        <sz val="9"/>
        <color indexed="10"/>
        <rFont val="Arial"/>
        <family val="0"/>
      </rPr>
      <t xml:space="preserve"> YOUR MILEAGE WILL VARY!  THIS IS NOT A GUARANTEE OF INCOME!</t>
    </r>
    <r>
      <rPr>
        <sz val="9"/>
        <color indexed="10"/>
        <rFont val="Arial"/>
        <family val="0"/>
      </rPr>
      <t xml:space="preserve">  THIS ONLY SERVES TO DEMONSTRATE! Due to the GENERAL ASSUMPTIONS used to demonstrate, this is also not an exact, accurate portrayal. DOES NOT INCLUDE RETAIL MARKUP ON CUSTOMERS. </t>
    </r>
  </si>
  <si>
    <t>Savings Account rate and amount needed to equal monthly commission:</t>
  </si>
  <si>
    <t>Column B:  Duplication of distributors.  For instance you personally enroll 30 (row8). They each enroll 5 (row 9), who each enroll 4 (Row 10) etc.</t>
  </si>
  <si>
    <t>CORE 50 Unilevel Demonstrator plus one-time Fast Start Bonuses</t>
  </si>
  <si>
    <t>Annual:</t>
  </si>
  <si>
    <t>Leader FULL TRIBRID Model</t>
  </si>
  <si>
    <t>Generation 1</t>
  </si>
  <si>
    <t>Generation 2</t>
  </si>
  <si>
    <t>Generation 3</t>
  </si>
  <si>
    <t>Generation 4</t>
  </si>
  <si>
    <t>Generation 5</t>
  </si>
  <si>
    <t>Generation 6</t>
  </si>
  <si>
    <t>Generation 7</t>
  </si>
  <si>
    <t>Combined</t>
  </si>
  <si>
    <t>Unilevel/Portal</t>
  </si>
  <si>
    <t>Per Level/Gen</t>
  </si>
  <si>
    <t>distributor of:</t>
  </si>
  <si>
    <t>Column B:  Duplication of distributors.  For instance, personally enroll 10 (row8). They each enroll 5 (row 9), who each enroll 4 (Row 10) etc.</t>
  </si>
  <si>
    <t>Pay</t>
  </si>
  <si>
    <t>Per</t>
  </si>
  <si>
    <t>Level</t>
  </si>
  <si>
    <t>per Gen.</t>
  </si>
  <si>
    <t>Avg.</t>
  </si>
  <si>
    <t>Comm.</t>
  </si>
  <si>
    <t>Cust./Dist.</t>
  </si>
  <si>
    <t>Avg #</t>
  </si>
  <si>
    <t>Cust.</t>
  </si>
  <si>
    <r>
      <rPr>
        <b/>
        <sz val="9"/>
        <color indexed="10"/>
        <rFont val="Arial"/>
        <family val="0"/>
      </rPr>
      <t xml:space="preserve"> YOUR MILEAGE WILL VARY!  THIS IS NOT A GUARANTEE OF INCOME!</t>
    </r>
    <r>
      <rPr>
        <sz val="9"/>
        <color indexed="10"/>
        <rFont val="Arial"/>
        <family val="0"/>
      </rPr>
      <t xml:space="preserve">  THIS ONLY SERVES TO DEMONSTRATE! Due to the GENERAL ASSUMPTIONS used to demonstrate, this is also not an exact, accurate portrayal. Certain listed percentages are only averages based on prior actual pay.  DOES NOT INCLUDE RETAIL MARKUP ON CUSTOMERS. </t>
    </r>
  </si>
  <si>
    <t>How many Xec's will you personally enroll?</t>
  </si>
  <si>
    <t>How many of your personally enrolled Xec's will enroll the same number of Xec's as you have? (1st Generation)</t>
  </si>
  <si>
    <t>How many of those Xec's will enroll the same number as you? (2nd-7th Generations)</t>
  </si>
  <si>
    <r>
      <t xml:space="preserve">How many "Find Your Limitless" pak </t>
    </r>
    <r>
      <rPr>
        <b/>
        <sz val="12"/>
        <rFont val="Arial"/>
        <family val="2"/>
      </rPr>
      <t>customers</t>
    </r>
    <r>
      <rPr>
        <sz val="12"/>
        <rFont val="Arial"/>
        <family val="0"/>
      </rPr>
      <t xml:space="preserve"> will you gather and maintain in your first year as a Limitless Worldwide distributor? (min. 2 + You = Xec)</t>
    </r>
  </si>
  <si>
    <t>To earn this amount from interest in a savings account, enter in your interest rate to find out how much money you would need to have saved (after taxes, of course!)</t>
  </si>
  <si>
    <t xml:space="preserve">          YOUR MONTHLY COMMISSIONS AND OVERRIDES:</t>
  </si>
  <si>
    <r>
      <rPr>
        <b/>
        <sz val="9"/>
        <color indexed="10"/>
        <rFont val="Arial"/>
        <family val="0"/>
      </rPr>
      <t xml:space="preserve"> YOUR MILEAGE WILL VARY!  THIS IS NOT A GUARANTEE OF INCOME!</t>
    </r>
    <r>
      <rPr>
        <sz val="9"/>
        <color indexed="10"/>
        <rFont val="Arial"/>
        <family val="0"/>
      </rPr>
      <t xml:space="preserve">  THIS ONLY SERVES TO DEMONSTRATE! Due to the GENERAL ASSUMPTIONS used to demonstrate, this is also not an exact, accurate portrayal. Certain listed percentages are only averages based on prior actual pay.  DOES NOT INCLUDE RETAIL MARKUP ON CUSTOMERS or LADDER BONUSES. </t>
    </r>
  </si>
  <si>
    <t>LL14757-11</t>
  </si>
  <si>
    <t>DISCLAIMER:   YOUR MILEAGE WILL VARY!  THIS IS NOT A GUARANTEE OF INCOME!  THIS ONLY SERVES TO DEMONSTRATE! Due to the GENERAL ASSUMPTIONS used to demonstrate, this is also not an exact, accurate portrayal. Certain listed percentages are only averages based on prior actual pay.  DOES NOT INCLUDE RETAIL MARKUP ON CUSTOMERS or LADDER BONUSES.</t>
  </si>
  <si>
    <t>Assumes 2 customers/Xec</t>
  </si>
  <si>
    <t>How many customers will you acquire?</t>
  </si>
  <si>
    <t>How many personally enrolled Xec's will you enroll who have the same customer perameters as you?</t>
  </si>
  <si>
    <t xml:space="preserve">  YOUR ESTIMATED MONTHLY RETAIL BONUS AND COMMISSIONS:</t>
  </si>
  <si>
    <t>DISCLAIMER:   YOUR MILEAGE WILL VARY!  THIS IS NOT A GUARANTEE OF INCOME!  THIS ONLY SERVES TO DEMONSTRATE! Due to the GENERAL ASSUMPTIONS used to demonstrate, this is also not an exact, accurate portrayal. Certain listed percentages are only averages based on prior actual pay. Demonstrator Retail Bonus is avg. $5 per 50 PSV up to $35. Actual could be more or less pending autoships.  Customers spending more than 350 PSV would most likely become a distributor.   DOES NOT INCLUDE ANY LADDER BONUSES, BACK-END BONUS POOLS, or the *$2,000 First Year Customer Bonus. Refer to Limitless Demonstrator for duplication beyond personally enrolled Xecutives.</t>
  </si>
  <si>
    <t>LL-20170512-1</t>
  </si>
  <si>
    <t>Personal Volume</t>
  </si>
  <si>
    <t>Customer Volume</t>
  </si>
  <si>
    <t>Number Customers</t>
  </si>
  <si>
    <t>Total PSV</t>
  </si>
  <si>
    <t>Portal 50</t>
  </si>
  <si>
    <t>Customer Core Volume</t>
  </si>
  <si>
    <t>Front Xec Core</t>
  </si>
  <si>
    <t>Total Xec Customer Core (L2)</t>
  </si>
  <si>
    <t>Personal Spillover Volume</t>
  </si>
  <si>
    <t>Portal 300</t>
  </si>
  <si>
    <t xml:space="preserve">Limitless Customer XQV </t>
  </si>
  <si>
    <t>Retail VLOOKUP Table</t>
  </si>
  <si>
    <t>Average Retail per Customer</t>
  </si>
  <si>
    <t>Core Commissions L1</t>
  </si>
  <si>
    <t>Core Commmission L2</t>
  </si>
  <si>
    <t>CAB Bonus</t>
  </si>
  <si>
    <t>CAB Bonus Xecs</t>
  </si>
  <si>
    <t>Estimated Retail</t>
  </si>
  <si>
    <t xml:space="preserve"> Total Core and Retail</t>
  </si>
  <si>
    <t>P/E Xecs</t>
  </si>
  <si>
    <t>Xec  XQV</t>
  </si>
  <si>
    <t>XGV</t>
  </si>
  <si>
    <t>X3 XQV Pay (10%)</t>
  </si>
  <si>
    <t>XGV Pay (.10)</t>
  </si>
  <si>
    <t>Total Additional Pay</t>
  </si>
  <si>
    <t>Total ESTIMATED INCOME</t>
  </si>
  <si>
    <t>With these parameters, you need this many customers to be an Xec:</t>
  </si>
  <si>
    <t>Your Total Personal Sales Volume (PSV) is:</t>
  </si>
  <si>
    <t>How much will you personally spend each month? (min. 50 PV)</t>
  </si>
  <si>
    <t>How much monthly volume (PV) will your average customer have?</t>
  </si>
  <si>
    <t>What is the average PSV of You and all Xec's in your organization?</t>
  </si>
  <si>
    <t>Xec's</t>
  </si>
  <si>
    <t>The above average PSV is used to tell you how many Xec's needed for each Ladder benchmark below.</t>
  </si>
  <si>
    <t xml:space="preserve">          Climb the Limitless Ladder with Xec's</t>
  </si>
  <si>
    <t>PSV*</t>
  </si>
  <si>
    <t>*DISCLAIMER:   YOUR MILEAGE WILL VARY!  THIS IS NOT A GUARANTEE OF INCOME!  THIS ONLY SERVES TO DEMONSTRATE! Due to the GENERAL ASSUMPTIONS used to demonstrate, this is also not an exact, accurate portrayal.</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</si>
</sst>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0_);_(&quot;$&quot;* \(#,##0.0\);_(&quot;$&quot;* &quot;-&quot;??_);_(@_)"/>
    <numFmt numFmtId="173" formatCode="_(&quot;$&quot;* #,##0_);_(&quot;$&quot;* \(#,##0\);_(&quot;$&quot;* &quot;-&quot;??_);_(@_)"/>
    <numFmt numFmtId="174" formatCode="&quot;$&quot;#,##0"/>
    <numFmt numFmtId="175" formatCode="&quot;$&quot;#,##0.0_);\(&quot;$&quot;#,##0.0\)"/>
    <numFmt numFmtId="176" formatCode="&quot;$&quot;#,##0.00"/>
    <numFmt numFmtId="177" formatCode="&quot;$&quot;#,##0.0"/>
    <numFmt numFmtId="178" formatCode="m/d/yyyy"/>
    <numFmt numFmtId="179" formatCode="0.0%"/>
    <numFmt numFmtId="180" formatCode="_(* #,##0.0_);_(* \(#,##0.0\);_(* &quot;-&quot;??_);_(@_)"/>
    <numFmt numFmtId="181" formatCode="_(* #,##0_);_(* \(#,##0\);_(* &quot;-&quot;??_);_(@_)"/>
    <numFmt numFmtId="182" formatCode="_-&quot;$&quot;* #,##0.0_-;\-&quot;$&quot;* #,##0.0_-;_-&quot;$&quot;* &quot;-&quot;??_-;_-@_-"/>
    <numFmt numFmtId="183" formatCode="_-&quot;$&quot;* #,##0_-;\-&quot;$&quot;* #,##0_-;_-&quot;$&quot;* &quot;-&quot;??_-;_-@_-"/>
    <numFmt numFmtId="184" formatCode="0.0"/>
    <numFmt numFmtId="185" formatCode="&quot;$&quot;#,##0.00;[Red]&quot;$&quot;#,##0.00"/>
    <numFmt numFmtId="186" formatCode="&quot;$&quot;#,##0.0;[Red]&quot;$&quot;#,##0.0"/>
    <numFmt numFmtId="187" formatCode="&quot;$&quot;#,##0;[Red]&quot;$&quot;#,##0"/>
  </numFmts>
  <fonts count="84">
    <font>
      <sz val="10"/>
      <name val="Arial"/>
      <family val="0"/>
    </font>
    <font>
      <u val="single"/>
      <sz val="10"/>
      <color indexed="12"/>
      <name val="Arial"/>
      <family val="0"/>
    </font>
    <font>
      <u val="single"/>
      <sz val="10"/>
      <color indexed="36"/>
      <name val="Arial"/>
      <family val="0"/>
    </font>
    <font>
      <sz val="8"/>
      <name val="Verdana"/>
      <family val="2"/>
    </font>
    <font>
      <sz val="9"/>
      <color indexed="10"/>
      <name val="Arial"/>
      <family val="0"/>
    </font>
    <font>
      <b/>
      <sz val="9"/>
      <color indexed="10"/>
      <name val="Arial"/>
      <family val="0"/>
    </font>
    <font>
      <sz val="9"/>
      <name val="Arial"/>
      <family val="0"/>
    </font>
    <font>
      <sz val="8"/>
      <name val="Arial"/>
      <family val="0"/>
    </font>
    <font>
      <b/>
      <sz val="10"/>
      <name val="Arial"/>
      <family val="2"/>
    </font>
    <font>
      <sz val="6"/>
      <name val="Arial"/>
      <family val="0"/>
    </font>
    <font>
      <sz val="12"/>
      <name val="Arial"/>
      <family val="0"/>
    </font>
    <font>
      <sz val="14"/>
      <name val="Arial"/>
      <family val="2"/>
    </font>
    <font>
      <sz val="28"/>
      <name val="Arial"/>
      <family val="0"/>
    </font>
    <font>
      <b/>
      <sz val="12"/>
      <name val="Arial"/>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8"/>
      <color indexed="10"/>
      <name val="Arial"/>
      <family val="0"/>
    </font>
    <font>
      <sz val="16"/>
      <color indexed="53"/>
      <name val="Arial"/>
      <family val="0"/>
    </font>
    <font>
      <sz val="18"/>
      <color indexed="19"/>
      <name val="Arial"/>
      <family val="0"/>
    </font>
    <font>
      <b/>
      <sz val="9"/>
      <color indexed="17"/>
      <name val="Arial"/>
      <family val="0"/>
    </font>
    <font>
      <b/>
      <sz val="22"/>
      <color indexed="17"/>
      <name val="Arial"/>
      <family val="0"/>
    </font>
    <font>
      <sz val="12"/>
      <color indexed="17"/>
      <name val="Arial"/>
      <family val="0"/>
    </font>
    <font>
      <sz val="12"/>
      <color indexed="8"/>
      <name val="GalaxiePolaris-Medium"/>
      <family val="0"/>
    </font>
    <font>
      <sz val="18"/>
      <color indexed="8"/>
      <name val="GalaxiePolaris-Medium"/>
      <family val="0"/>
    </font>
    <font>
      <sz val="12"/>
      <color indexed="10"/>
      <name val="GalaxiePolaris-Medium"/>
      <family val="0"/>
    </font>
    <font>
      <sz val="12"/>
      <color indexed="53"/>
      <name val="GalaxiePolaris-Medium"/>
      <family val="0"/>
    </font>
    <font>
      <sz val="12"/>
      <color indexed="53"/>
      <name val="Calibri"/>
      <family val="0"/>
    </font>
    <font>
      <sz val="12"/>
      <color indexed="8"/>
      <name val="GalaxiePolaris-Book"/>
      <family val="0"/>
    </font>
    <font>
      <b/>
      <sz val="8"/>
      <color indexed="17"/>
      <name val="Arial"/>
      <family val="0"/>
    </font>
    <font>
      <sz val="8"/>
      <color indexed="8"/>
      <name val="GalaxiePolaris-Book"/>
      <family val="0"/>
    </font>
    <font>
      <sz val="10"/>
      <name val="GalaxiePolaris-Medium"/>
      <family val="0"/>
    </font>
    <font>
      <sz val="16"/>
      <name val="GalaxiePolaris-Medium"/>
      <family val="0"/>
    </font>
    <font>
      <sz val="18"/>
      <name val="GalaxiePolaris-Medium"/>
      <family val="0"/>
    </font>
    <font>
      <sz val="8"/>
      <name val="GalaxiePolaris-Book"/>
      <family val="0"/>
    </font>
    <font>
      <sz val="10"/>
      <name val="GalaxiePolaris-Light"/>
      <family val="0"/>
    </font>
    <font>
      <sz val="10"/>
      <color indexed="10"/>
      <name val="Aria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9"/>
      <color rgb="FFFF0000"/>
      <name val="Arial"/>
      <family val="0"/>
    </font>
    <font>
      <sz val="8"/>
      <color rgb="FFFF0000"/>
      <name val="Arial"/>
      <family val="0"/>
    </font>
    <font>
      <sz val="16"/>
      <color rgb="FFFF6600"/>
      <name val="Arial"/>
      <family val="0"/>
    </font>
    <font>
      <sz val="18"/>
      <color theme="2" tint="-0.4999699890613556"/>
      <name val="Arial"/>
      <family val="0"/>
    </font>
    <font>
      <sz val="12"/>
      <color theme="1"/>
      <name val="GalaxiePolaris-Medium"/>
      <family val="0"/>
    </font>
    <font>
      <sz val="18"/>
      <color theme="1"/>
      <name val="GalaxiePolaris-Medium"/>
      <family val="0"/>
    </font>
    <font>
      <sz val="12"/>
      <color theme="9" tint="-0.24997000396251678"/>
      <name val="Calibri"/>
      <family val="0"/>
    </font>
    <font>
      <sz val="12"/>
      <color theme="1"/>
      <name val="GalaxiePolaris-Book"/>
      <family val="0"/>
    </font>
    <font>
      <sz val="8"/>
      <color theme="1"/>
      <name val="GalaxiePolaris-Book"/>
      <family val="0"/>
    </font>
    <font>
      <b/>
      <sz val="9"/>
      <color rgb="FF008000"/>
      <name val="Arial"/>
      <family val="0"/>
    </font>
    <font>
      <b/>
      <sz val="22"/>
      <color rgb="FF008000"/>
      <name val="Arial"/>
      <family val="0"/>
    </font>
    <font>
      <sz val="12"/>
      <color rgb="FF008000"/>
      <name val="Arial"/>
      <family val="0"/>
    </font>
    <font>
      <b/>
      <sz val="8"/>
      <color rgb="FF008000"/>
      <name val="Arial"/>
      <family val="0"/>
    </font>
    <font>
      <sz val="12"/>
      <color rgb="FFFF0000"/>
      <name val="GalaxiePolaris-Medium"/>
      <family val="0"/>
    </font>
    <font>
      <sz val="12"/>
      <color theme="9" tint="-0.24997000396251678"/>
      <name val="GalaxiePolaris-Medium"/>
      <family val="0"/>
    </font>
    <font>
      <sz val="10"/>
      <color rgb="FFFF0000"/>
      <name val="Arial"/>
      <family val="0"/>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CCFFCC"/>
        <bgColor indexed="64"/>
      </patternFill>
    </fill>
    <fill>
      <patternFill patternType="solid">
        <fgColor rgb="FFC9FFA1"/>
        <bgColor indexed="64"/>
      </patternFill>
    </fill>
    <fill>
      <patternFill patternType="solid">
        <fgColor theme="1" tint="0.34999001026153564"/>
        <bgColor indexed="64"/>
      </patternFill>
    </fill>
    <fill>
      <patternFill patternType="solid">
        <fgColor rgb="FFE7FFAB"/>
        <bgColor indexed="64"/>
      </patternFill>
    </fill>
    <fill>
      <patternFill patternType="solid">
        <fgColor rgb="FFFFFAB9"/>
        <bgColor indexed="64"/>
      </patternFill>
    </fill>
    <fill>
      <patternFill patternType="solid">
        <fgColor rgb="FFC9FFA1"/>
        <bgColor indexed="64"/>
      </patternFill>
    </fill>
    <fill>
      <patternFill patternType="solid">
        <fgColor rgb="FFFFFE94"/>
        <bgColor indexed="64"/>
      </patternFill>
    </fill>
    <fill>
      <patternFill patternType="solid">
        <fgColor rgb="FFFFFAB9"/>
        <bgColor indexed="64"/>
      </patternFill>
    </fill>
    <fill>
      <patternFill patternType="solid">
        <fgColor rgb="FFFFF480"/>
        <bgColor indexed="64"/>
      </patternFill>
    </fill>
    <fill>
      <patternFill patternType="solid">
        <fgColor theme="2" tint="-0.24997000396251678"/>
        <bgColor indexed="64"/>
      </patternFill>
    </fill>
    <fill>
      <patternFill patternType="solid">
        <fgColor theme="0" tint="-0.1499900072813034"/>
        <bgColor indexed="64"/>
      </patternFill>
    </fill>
    <fill>
      <patternFill patternType="solid">
        <fgColor theme="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color indexed="63"/>
      </left>
      <right style="thin"/>
      <top>
        <color indexed="63"/>
      </top>
      <bottom style="thin"/>
    </border>
    <border>
      <left style="thick">
        <color theme="0" tint="-0.4999699890613556"/>
      </left>
      <right style="thick">
        <color theme="0" tint="-0.4999699890613556"/>
      </right>
      <top style="thick">
        <color theme="0" tint="-0.4999699890613556"/>
      </top>
      <bottom style="thick">
        <color theme="0" tint="-0.4999699890613556"/>
      </bottom>
    </border>
    <border>
      <left style="medium">
        <color theme="0" tint="-0.4999699890613556"/>
      </left>
      <right style="medium">
        <color theme="0" tint="-0.4999699890613556"/>
      </right>
      <top style="medium">
        <color theme="0" tint="-0.4999699890613556"/>
      </top>
      <bottom style="medium">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thick">
        <color theme="0" tint="-0.4999699890613556"/>
      </left>
      <right>
        <color indexed="63"/>
      </right>
      <top style="thick">
        <color theme="0" tint="-0.4999699890613556"/>
      </top>
      <bottom style="thick">
        <color theme="0" tint="-0.4999699890613556"/>
      </bottom>
    </border>
    <border>
      <left>
        <color indexed="63"/>
      </left>
      <right style="thick">
        <color theme="0" tint="-0.4999699890613556"/>
      </right>
      <top style="thick">
        <color theme="0" tint="-0.4999699890613556"/>
      </top>
      <bottom style="thick">
        <color theme="0" tint="-0.4999699890613556"/>
      </bottom>
    </border>
    <border>
      <left style="thick">
        <color theme="0" tint="-0.4999699890613556"/>
      </left>
      <right>
        <color indexed="63"/>
      </right>
      <top>
        <color indexed="63"/>
      </top>
      <bottom>
        <color indexed="63"/>
      </bottom>
    </border>
    <border>
      <left>
        <color indexed="63"/>
      </left>
      <right>
        <color indexed="63"/>
      </right>
      <top style="thick">
        <color theme="0" tint="-0.4999699890613556"/>
      </top>
      <bottom>
        <color indexed="63"/>
      </bottom>
    </border>
    <border>
      <left style="thin">
        <color theme="0" tint="-0.4999699890613556"/>
      </left>
      <right>
        <color indexed="63"/>
      </right>
      <top>
        <color indexed="63"/>
      </top>
      <bottom>
        <color indexed="63"/>
      </bottom>
    </border>
    <border>
      <left style="thin">
        <color theme="0" tint="-0.4999699890613556"/>
      </left>
      <right>
        <color indexed="63"/>
      </right>
      <top style="thin">
        <color theme="0" tint="-0.4999699890613556"/>
      </top>
      <bottom style="thin">
        <color theme="0" tint="-0.4999699890613556"/>
      </bottom>
    </border>
    <border>
      <left>
        <color indexed="63"/>
      </left>
      <right style="thin">
        <color theme="0" tint="-0.4999699890613556"/>
      </right>
      <top style="thin">
        <color theme="0" tint="-0.4999699890613556"/>
      </top>
      <bottom style="thin">
        <color theme="0" tint="-0.4999699890613556"/>
      </bottom>
    </border>
    <border>
      <left style="medium">
        <color theme="1"/>
      </left>
      <right style="medium">
        <color theme="1"/>
      </right>
      <top style="medium">
        <color theme="1"/>
      </top>
      <bottom>
        <color indexed="63"/>
      </bottom>
    </border>
    <border>
      <left style="medium">
        <color theme="1"/>
      </left>
      <right style="medium">
        <color theme="1"/>
      </right>
      <top>
        <color indexed="63"/>
      </top>
      <bottom style="medium">
        <color theme="1"/>
      </bottom>
    </border>
    <border>
      <left style="thin">
        <color theme="5"/>
      </left>
      <right>
        <color indexed="63"/>
      </right>
      <top style="thin">
        <color theme="5"/>
      </top>
      <bottom>
        <color indexed="63"/>
      </bottom>
    </border>
    <border>
      <left>
        <color indexed="63"/>
      </left>
      <right>
        <color indexed="63"/>
      </right>
      <top style="thin">
        <color theme="5"/>
      </top>
      <bottom>
        <color indexed="63"/>
      </bottom>
    </border>
    <border>
      <left>
        <color indexed="63"/>
      </left>
      <right style="thin">
        <color theme="5"/>
      </right>
      <top style="thin">
        <color theme="5"/>
      </top>
      <bottom>
        <color indexed="63"/>
      </bottom>
    </border>
    <border>
      <left style="thin">
        <color theme="5"/>
      </left>
      <right>
        <color indexed="63"/>
      </right>
      <top>
        <color indexed="63"/>
      </top>
      <bottom>
        <color indexed="63"/>
      </bottom>
    </border>
    <border>
      <left>
        <color indexed="63"/>
      </left>
      <right style="thin">
        <color theme="5"/>
      </right>
      <top>
        <color indexed="63"/>
      </top>
      <bottom>
        <color indexed="63"/>
      </bottom>
    </border>
    <border>
      <left style="thin">
        <color theme="5"/>
      </left>
      <right>
        <color indexed="63"/>
      </right>
      <top>
        <color indexed="63"/>
      </top>
      <bottom style="thin">
        <color theme="5"/>
      </bottom>
    </border>
    <border>
      <left>
        <color indexed="63"/>
      </left>
      <right>
        <color indexed="63"/>
      </right>
      <top>
        <color indexed="63"/>
      </top>
      <bottom style="thin">
        <color theme="5"/>
      </bottom>
    </border>
    <border>
      <left>
        <color indexed="63"/>
      </left>
      <right style="thin">
        <color theme="5"/>
      </right>
      <top>
        <color indexed="63"/>
      </top>
      <bottom style="thin">
        <color theme="5"/>
      </bottom>
    </border>
    <border>
      <left style="thick">
        <color rgb="FFFF0000"/>
      </left>
      <right style="thick">
        <color rgb="FFFF0000"/>
      </right>
      <top style="thick">
        <color rgb="FFFF0000"/>
      </top>
      <bottom>
        <color indexed="63"/>
      </bottom>
    </border>
    <border>
      <left style="thick">
        <color rgb="FFFF0000"/>
      </left>
      <right style="thick">
        <color rgb="FFFF0000"/>
      </right>
      <top>
        <color indexed="63"/>
      </top>
      <bottom>
        <color indexed="63"/>
      </bottom>
    </border>
    <border>
      <left style="thick">
        <color rgb="FFFF0000"/>
      </left>
      <right style="thick">
        <color rgb="FFFF0000"/>
      </right>
      <top>
        <color indexed="63"/>
      </top>
      <bottom style="thick">
        <color rgb="FFFF000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0" applyNumberFormat="0" applyFill="0" applyBorder="0" applyAlignment="0" applyProtection="0"/>
    <xf numFmtId="0" fontId="2"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51"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14">
    <xf numFmtId="0" fontId="0" fillId="0" borderId="0" xfId="0" applyAlignment="1">
      <alignment/>
    </xf>
    <xf numFmtId="0" fontId="0" fillId="33" borderId="0" xfId="0" applyFill="1" applyAlignment="1" applyProtection="1">
      <alignment horizontal="center"/>
      <protection locked="0"/>
    </xf>
    <xf numFmtId="0" fontId="0" fillId="33" borderId="0" xfId="0" applyNumberFormat="1" applyFill="1" applyAlignment="1" applyProtection="1">
      <alignment horizontal="center"/>
      <protection locked="0"/>
    </xf>
    <xf numFmtId="0" fontId="0" fillId="0" borderId="0" xfId="0" applyAlignment="1" applyProtection="1">
      <alignment/>
      <protection/>
    </xf>
    <xf numFmtId="0" fontId="0" fillId="33" borderId="0" xfId="0" applyFill="1" applyAlignment="1" applyProtection="1">
      <alignment horizontal="center"/>
      <protection locked="0"/>
    </xf>
    <xf numFmtId="0" fontId="0" fillId="0" borderId="0" xfId="0" applyAlignment="1" applyProtection="1">
      <alignment horizontal="center"/>
      <protection hidden="1"/>
    </xf>
    <xf numFmtId="0" fontId="8" fillId="0" borderId="0" xfId="0" applyFont="1" applyAlignment="1" applyProtection="1">
      <alignment/>
      <protection hidden="1"/>
    </xf>
    <xf numFmtId="0" fontId="0" fillId="0" borderId="0" xfId="0" applyAlignment="1" applyProtection="1">
      <alignment/>
      <protection hidden="1"/>
    </xf>
    <xf numFmtId="0" fontId="0" fillId="0" borderId="0" xfId="0" applyFill="1" applyAlignment="1" applyProtection="1">
      <alignment horizontal="center"/>
      <protection hidden="1"/>
    </xf>
    <xf numFmtId="9" fontId="0" fillId="0" borderId="0" xfId="60" applyFont="1" applyAlignment="1" applyProtection="1">
      <alignment horizontal="center"/>
      <protection hidden="1"/>
    </xf>
    <xf numFmtId="174" fontId="0" fillId="0" borderId="0" xfId="0" applyNumberFormat="1" applyAlignment="1" applyProtection="1">
      <alignment horizontal="right"/>
      <protection hidden="1"/>
    </xf>
    <xf numFmtId="9" fontId="0" fillId="0" borderId="0" xfId="0" applyNumberFormat="1" applyAlignment="1" applyProtection="1">
      <alignment horizontal="center"/>
      <protection hidden="1"/>
    </xf>
    <xf numFmtId="174" fontId="0" fillId="0" borderId="0" xfId="0" applyNumberFormat="1" applyAlignment="1" applyProtection="1">
      <alignment/>
      <protection hidden="1"/>
    </xf>
    <xf numFmtId="0" fontId="0" fillId="0" borderId="0" xfId="0" applyNumberFormat="1" applyAlignment="1" applyProtection="1">
      <alignment horizontal="center"/>
      <protection hidden="1"/>
    </xf>
    <xf numFmtId="174" fontId="0" fillId="34" borderId="0" xfId="0" applyNumberFormat="1" applyFill="1" applyAlignment="1" applyProtection="1">
      <alignment/>
      <protection hidden="1"/>
    </xf>
    <xf numFmtId="174" fontId="0" fillId="0" borderId="0" xfId="0" applyNumberFormat="1" applyFill="1" applyAlignment="1" applyProtection="1">
      <alignment/>
      <protection hidden="1"/>
    </xf>
    <xf numFmtId="0" fontId="6" fillId="0" borderId="0" xfId="0" applyFont="1" applyAlignment="1" applyProtection="1">
      <alignment/>
      <protection hidden="1"/>
    </xf>
    <xf numFmtId="181" fontId="0" fillId="7" borderId="0" xfId="42" applyNumberFormat="1" applyFont="1" applyFill="1" applyAlignment="1" applyProtection="1">
      <alignment horizontal="center"/>
      <protection hidden="1"/>
    </xf>
    <xf numFmtId="0" fontId="0" fillId="2" borderId="0" xfId="0" applyFill="1" applyAlignment="1" applyProtection="1">
      <alignment horizontal="right"/>
      <protection hidden="1"/>
    </xf>
    <xf numFmtId="174" fontId="0" fillId="2" borderId="0" xfId="0" applyNumberFormat="1" applyFill="1" applyAlignment="1" applyProtection="1">
      <alignment/>
      <protection hidden="1"/>
    </xf>
    <xf numFmtId="3" fontId="7" fillId="0" borderId="0" xfId="0" applyNumberFormat="1" applyFont="1" applyAlignment="1" applyProtection="1" quotePrefix="1">
      <alignment horizontal="center"/>
      <protection hidden="1"/>
    </xf>
    <xf numFmtId="174" fontId="0" fillId="34" borderId="0" xfId="0" applyNumberFormat="1" applyFill="1" applyAlignment="1" applyProtection="1">
      <alignment horizontal="center"/>
      <protection hidden="1"/>
    </xf>
    <xf numFmtId="0" fontId="9" fillId="0" borderId="0" xfId="0" applyFont="1" applyAlignment="1" applyProtection="1" quotePrefix="1">
      <alignment horizontal="right"/>
      <protection hidden="1"/>
    </xf>
    <xf numFmtId="0" fontId="9" fillId="0" borderId="0" xfId="0" applyFont="1" applyAlignment="1" applyProtection="1">
      <alignment horizontal="right"/>
      <protection hidden="1"/>
    </xf>
    <xf numFmtId="9" fontId="68" fillId="0" borderId="0" xfId="0" applyNumberFormat="1" applyFont="1" applyAlignment="1" applyProtection="1">
      <alignment horizontal="center"/>
      <protection hidden="1"/>
    </xf>
    <xf numFmtId="0" fontId="0" fillId="0" borderId="0" xfId="0" applyFont="1" applyAlignment="1" applyProtection="1">
      <alignment horizontal="center" vertical="center" wrapText="1" shrinkToFit="1"/>
      <protection hidden="1"/>
    </xf>
    <xf numFmtId="9" fontId="0" fillId="33" borderId="10" xfId="60" applyFont="1" applyFill="1" applyBorder="1" applyAlignment="1" applyProtection="1">
      <alignment/>
      <protection locked="0"/>
    </xf>
    <xf numFmtId="174" fontId="0" fillId="34" borderId="11" xfId="0" applyNumberFormat="1" applyFill="1" applyBorder="1" applyAlignment="1" applyProtection="1">
      <alignment/>
      <protection hidden="1"/>
    </xf>
    <xf numFmtId="9" fontId="69" fillId="0" borderId="0" xfId="0" applyNumberFormat="1" applyFont="1" applyAlignment="1" applyProtection="1">
      <alignment horizontal="center"/>
      <protection hidden="1"/>
    </xf>
    <xf numFmtId="0" fontId="70" fillId="0" borderId="0" xfId="0" applyFont="1" applyAlignment="1" applyProtection="1">
      <alignment horizontal="center"/>
      <protection hidden="1"/>
    </xf>
    <xf numFmtId="0" fontId="0" fillId="34" borderId="0" xfId="0" applyFill="1" applyAlignment="1" applyProtection="1">
      <alignment horizontal="center"/>
      <protection hidden="1" locked="0"/>
    </xf>
    <xf numFmtId="0" fontId="0" fillId="0" borderId="0" xfId="0" applyFont="1" applyAlignment="1" applyProtection="1">
      <alignment/>
      <protection hidden="1"/>
    </xf>
    <xf numFmtId="174" fontId="0" fillId="0" borderId="0" xfId="0" applyNumberFormat="1" applyAlignment="1" applyProtection="1">
      <alignment/>
      <protection hidden="1"/>
    </xf>
    <xf numFmtId="0" fontId="6" fillId="35" borderId="0" xfId="0" applyFont="1" applyFill="1" applyAlignment="1" applyProtection="1" quotePrefix="1">
      <alignment horizontal="right"/>
      <protection hidden="1"/>
    </xf>
    <xf numFmtId="0" fontId="12" fillId="34" borderId="12" xfId="0" applyFont="1" applyFill="1" applyBorder="1" applyAlignment="1" applyProtection="1">
      <alignment horizontal="center" vertical="center"/>
      <protection locked="0"/>
    </xf>
    <xf numFmtId="0" fontId="0" fillId="36" borderId="0" xfId="0" applyFill="1" applyAlignment="1" applyProtection="1">
      <alignment/>
      <protection hidden="1"/>
    </xf>
    <xf numFmtId="0" fontId="10" fillId="36" borderId="0" xfId="0" applyFont="1" applyFill="1" applyAlignment="1" applyProtection="1">
      <alignment/>
      <protection hidden="1"/>
    </xf>
    <xf numFmtId="0" fontId="0" fillId="35" borderId="0" xfId="0" applyFill="1" applyAlignment="1" applyProtection="1">
      <alignment/>
      <protection hidden="1"/>
    </xf>
    <xf numFmtId="0" fontId="10" fillId="35" borderId="0" xfId="0" applyFont="1" applyFill="1" applyAlignment="1" applyProtection="1">
      <alignment/>
      <protection hidden="1"/>
    </xf>
    <xf numFmtId="0" fontId="10" fillId="35" borderId="0" xfId="0" applyFont="1" applyFill="1" applyAlignment="1" applyProtection="1">
      <alignment wrapText="1"/>
      <protection hidden="1"/>
    </xf>
    <xf numFmtId="0" fontId="10" fillId="35" borderId="0" xfId="0" applyFont="1" applyFill="1" applyAlignment="1" applyProtection="1">
      <alignment vertical="center" wrapText="1"/>
      <protection hidden="1"/>
    </xf>
    <xf numFmtId="0" fontId="71" fillId="35" borderId="0" xfId="0" applyFont="1" applyFill="1" applyAlignment="1" applyProtection="1">
      <alignment/>
      <protection hidden="1"/>
    </xf>
    <xf numFmtId="0" fontId="6" fillId="35" borderId="0" xfId="0" applyFont="1" applyFill="1" applyAlignment="1" applyProtection="1">
      <alignment/>
      <protection hidden="1"/>
    </xf>
    <xf numFmtId="0" fontId="10" fillId="0" borderId="0" xfId="0" applyFont="1" applyAlignment="1" applyProtection="1">
      <alignment/>
      <protection hidden="1"/>
    </xf>
    <xf numFmtId="0" fontId="12" fillId="37" borderId="12" xfId="0" applyFont="1" applyFill="1" applyBorder="1" applyAlignment="1" applyProtection="1">
      <alignment horizontal="center" vertical="center"/>
      <protection locked="0"/>
    </xf>
    <xf numFmtId="9" fontId="13" fillId="37" borderId="13" xfId="60" applyFont="1" applyFill="1" applyBorder="1" applyAlignment="1" applyProtection="1">
      <alignment horizontal="center"/>
      <protection locked="0"/>
    </xf>
    <xf numFmtId="0" fontId="51" fillId="36" borderId="0" xfId="57" applyFill="1" applyProtection="1">
      <alignment/>
      <protection hidden="1"/>
    </xf>
    <xf numFmtId="0" fontId="51" fillId="0" borderId="0" xfId="57">
      <alignment/>
      <protection/>
    </xf>
    <xf numFmtId="0" fontId="51" fillId="38" borderId="0" xfId="57" applyFill="1" applyProtection="1">
      <alignment/>
      <protection hidden="1"/>
    </xf>
    <xf numFmtId="0" fontId="72" fillId="38" borderId="0" xfId="57" applyFont="1" applyFill="1" applyAlignment="1" applyProtection="1">
      <alignment horizontal="left" vertical="center" wrapText="1"/>
      <protection hidden="1"/>
    </xf>
    <xf numFmtId="0" fontId="73" fillId="34" borderId="14" xfId="57" applyFont="1" applyFill="1" applyBorder="1" applyAlignment="1" applyProtection="1">
      <alignment horizontal="center" vertical="center"/>
      <protection locked="0"/>
    </xf>
    <xf numFmtId="0" fontId="72" fillId="38" borderId="0" xfId="57" applyFont="1" applyFill="1" applyAlignment="1" applyProtection="1">
      <alignment horizontal="center" vertical="center"/>
      <protection hidden="1"/>
    </xf>
    <xf numFmtId="0" fontId="73" fillId="38" borderId="0" xfId="57" applyFont="1" applyFill="1" applyAlignment="1" applyProtection="1">
      <alignment horizontal="center" vertical="center"/>
      <protection hidden="1"/>
    </xf>
    <xf numFmtId="0" fontId="74" fillId="38" borderId="0" xfId="57" applyFont="1" applyFill="1" applyProtection="1">
      <alignment/>
      <protection hidden="1"/>
    </xf>
    <xf numFmtId="0" fontId="75" fillId="38" borderId="0" xfId="57" applyFont="1" applyFill="1" applyProtection="1">
      <alignment/>
      <protection hidden="1"/>
    </xf>
    <xf numFmtId="0" fontId="73" fillId="7" borderId="14" xfId="57" applyFont="1" applyFill="1" applyBorder="1" applyAlignment="1" applyProtection="1">
      <alignment horizontal="center" vertical="center"/>
      <protection locked="0"/>
    </xf>
    <xf numFmtId="0" fontId="72" fillId="38" borderId="0" xfId="57" applyFont="1" applyFill="1" applyAlignment="1" applyProtection="1">
      <alignment vertical="center"/>
      <protection hidden="1"/>
    </xf>
    <xf numFmtId="0" fontId="76" fillId="38" borderId="0" xfId="57" applyFont="1" applyFill="1" applyAlignment="1" applyProtection="1">
      <alignment horizontal="right"/>
      <protection hidden="1"/>
    </xf>
    <xf numFmtId="0" fontId="51" fillId="0" borderId="0" xfId="57" applyProtection="1">
      <alignment/>
      <protection hidden="1"/>
    </xf>
    <xf numFmtId="2" fontId="51" fillId="0" borderId="0" xfId="57" applyNumberFormat="1" applyProtection="1">
      <alignment/>
      <protection hidden="1"/>
    </xf>
    <xf numFmtId="3" fontId="0" fillId="0" borderId="0" xfId="0" applyNumberFormat="1" applyAlignment="1" applyProtection="1">
      <alignment/>
      <protection hidden="1"/>
    </xf>
    <xf numFmtId="0" fontId="68" fillId="0" borderId="0" xfId="0" applyFont="1" applyAlignment="1" applyProtection="1">
      <alignment horizontal="center" wrapText="1"/>
      <protection hidden="1"/>
    </xf>
    <xf numFmtId="0" fontId="0" fillId="0" borderId="15" xfId="0" applyFont="1" applyBorder="1" applyAlignment="1" applyProtection="1">
      <alignment horizontal="center" vertical="center" wrapText="1" shrinkToFit="1"/>
      <protection hidden="1"/>
    </xf>
    <xf numFmtId="0" fontId="0" fillId="0" borderId="16" xfId="0" applyFont="1" applyBorder="1" applyAlignment="1" applyProtection="1">
      <alignment horizontal="center" vertical="center" wrapText="1" shrinkToFit="1"/>
      <protection hidden="1"/>
    </xf>
    <xf numFmtId="0" fontId="0" fillId="0" borderId="17" xfId="0" applyFont="1" applyBorder="1" applyAlignment="1" applyProtection="1">
      <alignment horizontal="center" vertical="center" wrapText="1" shrinkToFit="1"/>
      <protection hidden="1"/>
    </xf>
    <xf numFmtId="0" fontId="0" fillId="0" borderId="18" xfId="0" applyFont="1" applyBorder="1" applyAlignment="1" applyProtection="1">
      <alignment horizontal="center" vertical="center" wrapText="1" shrinkToFit="1"/>
      <protection hidden="1"/>
    </xf>
    <xf numFmtId="0" fontId="77" fillId="39" borderId="19" xfId="0" applyFont="1" applyFill="1" applyBorder="1" applyAlignment="1" applyProtection="1">
      <alignment horizontal="center" vertical="center" wrapText="1" shrinkToFit="1"/>
      <protection hidden="1"/>
    </xf>
    <xf numFmtId="0" fontId="77" fillId="39" borderId="20" xfId="0" applyFont="1" applyFill="1" applyBorder="1" applyAlignment="1" applyProtection="1">
      <alignment horizontal="center" vertical="center" wrapText="1" shrinkToFit="1"/>
      <protection hidden="1"/>
    </xf>
    <xf numFmtId="0" fontId="77" fillId="39" borderId="21" xfId="0" applyFont="1" applyFill="1" applyBorder="1" applyAlignment="1" applyProtection="1">
      <alignment horizontal="center" vertical="center" wrapText="1" shrinkToFit="1"/>
      <protection hidden="1"/>
    </xf>
    <xf numFmtId="187" fontId="78" fillId="40" borderId="22" xfId="0" applyNumberFormat="1" applyFont="1" applyFill="1" applyBorder="1" applyAlignment="1" applyProtection="1">
      <alignment horizontal="center" vertical="center"/>
      <protection hidden="1"/>
    </xf>
    <xf numFmtId="187" fontId="78" fillId="40" borderId="23" xfId="0" applyNumberFormat="1" applyFont="1" applyFill="1" applyBorder="1" applyAlignment="1" applyProtection="1">
      <alignment horizontal="center" vertical="center"/>
      <protection hidden="1"/>
    </xf>
    <xf numFmtId="187" fontId="11" fillId="35" borderId="0" xfId="0" applyNumberFormat="1" applyFont="1" applyFill="1" applyAlignment="1" applyProtection="1">
      <alignment horizontal="center"/>
      <protection hidden="1"/>
    </xf>
    <xf numFmtId="0" fontId="79" fillId="35" borderId="24" xfId="0" applyFont="1" applyFill="1" applyBorder="1" applyAlignment="1" applyProtection="1">
      <alignment horizontal="center" vertical="center" wrapText="1"/>
      <protection hidden="1"/>
    </xf>
    <xf numFmtId="0" fontId="79" fillId="35" borderId="0" xfId="0" applyFont="1" applyFill="1" applyAlignment="1" applyProtection="1">
      <alignment horizontal="center" vertical="center" wrapText="1"/>
      <protection hidden="1"/>
    </xf>
    <xf numFmtId="0" fontId="10" fillId="35" borderId="0" xfId="0" applyFont="1" applyFill="1" applyAlignment="1" applyProtection="1">
      <alignment horizontal="center" vertical="center" wrapText="1"/>
      <protection hidden="1"/>
    </xf>
    <xf numFmtId="0" fontId="79" fillId="35" borderId="24" xfId="0" applyNumberFormat="1" applyFont="1" applyFill="1" applyBorder="1" applyAlignment="1" applyProtection="1">
      <alignment horizontal="center" vertical="center" wrapText="1"/>
      <protection hidden="1"/>
    </xf>
    <xf numFmtId="0" fontId="79" fillId="35" borderId="0" xfId="0" applyNumberFormat="1" applyFont="1" applyFill="1" applyAlignment="1" applyProtection="1">
      <alignment horizontal="center" vertical="center" wrapText="1"/>
      <protection hidden="1"/>
    </xf>
    <xf numFmtId="0" fontId="0" fillId="35" borderId="25" xfId="0" applyFill="1" applyBorder="1" applyAlignment="1" applyProtection="1">
      <alignment horizontal="center"/>
      <protection hidden="1"/>
    </xf>
    <xf numFmtId="0" fontId="80" fillId="41" borderId="19" xfId="57" applyFont="1" applyFill="1" applyBorder="1" applyAlignment="1" applyProtection="1">
      <alignment horizontal="center" vertical="center" wrapText="1" shrinkToFit="1"/>
      <protection hidden="1"/>
    </xf>
    <xf numFmtId="0" fontId="80" fillId="41" borderId="20" xfId="57" applyFont="1" applyFill="1" applyBorder="1" applyAlignment="1" applyProtection="1">
      <alignment horizontal="center" vertical="center" wrapText="1" shrinkToFit="1"/>
      <protection hidden="1"/>
    </xf>
    <xf numFmtId="0" fontId="80" fillId="41" borderId="21" xfId="57" applyFont="1" applyFill="1" applyBorder="1" applyAlignment="1" applyProtection="1">
      <alignment horizontal="center" vertical="center" wrapText="1" shrinkToFit="1"/>
      <protection hidden="1"/>
    </xf>
    <xf numFmtId="0" fontId="81" fillId="38" borderId="26" xfId="57" applyFont="1" applyFill="1" applyBorder="1" applyAlignment="1" applyProtection="1">
      <alignment horizontal="center" vertical="center" wrapText="1"/>
      <protection hidden="1"/>
    </xf>
    <xf numFmtId="0" fontId="81" fillId="38" borderId="0" xfId="57" applyFont="1" applyFill="1" applyAlignment="1" applyProtection="1">
      <alignment horizontal="center" vertical="center" wrapText="1"/>
      <protection hidden="1"/>
    </xf>
    <xf numFmtId="0" fontId="81" fillId="38" borderId="26" xfId="57" applyFont="1" applyFill="1" applyBorder="1" applyAlignment="1" applyProtection="1">
      <alignment horizontal="center" wrapText="1"/>
      <protection hidden="1"/>
    </xf>
    <xf numFmtId="0" fontId="81" fillId="38" borderId="0" xfId="57" applyFont="1" applyFill="1" applyAlignment="1" applyProtection="1">
      <alignment horizontal="center" wrapText="1"/>
      <protection hidden="1"/>
    </xf>
    <xf numFmtId="0" fontId="51" fillId="38" borderId="0" xfId="57" applyFill="1" applyAlignment="1" applyProtection="1">
      <alignment horizontal="center"/>
      <protection hidden="1"/>
    </xf>
    <xf numFmtId="0" fontId="82" fillId="38" borderId="26" xfId="57" applyFont="1" applyFill="1" applyBorder="1" applyAlignment="1" applyProtection="1">
      <alignment horizontal="center" vertical="center" wrapText="1"/>
      <protection hidden="1"/>
    </xf>
    <xf numFmtId="0" fontId="82" fillId="38" borderId="0" xfId="57" applyFont="1" applyFill="1" applyAlignment="1" applyProtection="1">
      <alignment horizontal="center" vertical="center" wrapText="1"/>
      <protection hidden="1"/>
    </xf>
    <xf numFmtId="0" fontId="82" fillId="38" borderId="0" xfId="57" applyFont="1" applyFill="1" applyAlignment="1" applyProtection="1">
      <alignment horizontal="center" wrapText="1"/>
      <protection hidden="1"/>
    </xf>
    <xf numFmtId="185" fontId="73" fillId="42" borderId="27" xfId="57" applyNumberFormat="1" applyFont="1" applyFill="1" applyBorder="1" applyAlignment="1" applyProtection="1">
      <alignment horizontal="center" vertical="center"/>
      <protection hidden="1"/>
    </xf>
    <xf numFmtId="185" fontId="73" fillId="42" borderId="28" xfId="57" applyNumberFormat="1" applyFont="1" applyFill="1" applyBorder="1" applyAlignment="1" applyProtection="1">
      <alignment horizontal="center" vertical="center"/>
      <protection hidden="1"/>
    </xf>
    <xf numFmtId="0" fontId="51" fillId="38" borderId="0" xfId="57" applyFill="1" applyAlignment="1" applyProtection="1">
      <alignment horizontal="right"/>
      <protection hidden="1"/>
    </xf>
    <xf numFmtId="0" fontId="51" fillId="38" borderId="0" xfId="57" applyFill="1" applyAlignment="1" applyProtection="1">
      <alignment horizontal="left"/>
      <protection hidden="1"/>
    </xf>
    <xf numFmtId="0" fontId="0" fillId="43" borderId="0" xfId="0" applyFill="1" applyAlignment="1">
      <alignment/>
    </xf>
    <xf numFmtId="1" fontId="47" fillId="44" borderId="29" xfId="0" applyNumberFormat="1" applyFont="1" applyFill="1" applyBorder="1" applyAlignment="1">
      <alignment horizontal="center" vertical="center"/>
    </xf>
    <xf numFmtId="1" fontId="47" fillId="44" borderId="30" xfId="0" applyNumberFormat="1" applyFont="1" applyFill="1" applyBorder="1" applyAlignment="1">
      <alignment horizontal="center" vertical="center"/>
    </xf>
    <xf numFmtId="0" fontId="0" fillId="45" borderId="0" xfId="0" applyFill="1" applyAlignment="1">
      <alignment/>
    </xf>
    <xf numFmtId="0" fontId="46" fillId="43" borderId="0" xfId="0" applyFont="1" applyFill="1" applyAlignment="1">
      <alignment horizontal="center"/>
    </xf>
    <xf numFmtId="0" fontId="48" fillId="43" borderId="0" xfId="0" applyFont="1" applyFill="1" applyAlignment="1">
      <alignment horizontal="center" wrapText="1" shrinkToFit="1"/>
    </xf>
    <xf numFmtId="0" fontId="0" fillId="36" borderId="0" xfId="0" applyFill="1" applyAlignment="1">
      <alignment/>
    </xf>
    <xf numFmtId="0" fontId="45" fillId="45" borderId="0" xfId="0" applyFont="1" applyFill="1" applyAlignment="1">
      <alignment horizontal="right"/>
    </xf>
    <xf numFmtId="0" fontId="49" fillId="43" borderId="31" xfId="0" applyFont="1" applyFill="1" applyBorder="1" applyAlignment="1">
      <alignment horizontal="center" wrapText="1"/>
    </xf>
    <xf numFmtId="0" fontId="49" fillId="43" borderId="32" xfId="0" applyFont="1" applyFill="1" applyBorder="1" applyAlignment="1">
      <alignment horizontal="center" wrapText="1"/>
    </xf>
    <xf numFmtId="0" fontId="49" fillId="43" borderId="33" xfId="0" applyFont="1" applyFill="1" applyBorder="1" applyAlignment="1">
      <alignment horizontal="center" wrapText="1"/>
    </xf>
    <xf numFmtId="0" fontId="49" fillId="43" borderId="34" xfId="0" applyFont="1" applyFill="1" applyBorder="1" applyAlignment="1">
      <alignment horizontal="center" wrapText="1"/>
    </xf>
    <xf numFmtId="0" fontId="49" fillId="43" borderId="0" xfId="0" applyFont="1" applyFill="1" applyBorder="1" applyAlignment="1">
      <alignment horizontal="center" wrapText="1"/>
    </xf>
    <xf numFmtId="0" fontId="49" fillId="43" borderId="35" xfId="0" applyFont="1" applyFill="1" applyBorder="1" applyAlignment="1">
      <alignment horizontal="center" wrapText="1"/>
    </xf>
    <xf numFmtId="0" fontId="49" fillId="43" borderId="36" xfId="0" applyFont="1" applyFill="1" applyBorder="1" applyAlignment="1">
      <alignment horizontal="center" wrapText="1"/>
    </xf>
    <xf numFmtId="0" fontId="49" fillId="43" borderId="37" xfId="0" applyFont="1" applyFill="1" applyBorder="1" applyAlignment="1">
      <alignment horizontal="center" wrapText="1"/>
    </xf>
    <xf numFmtId="0" fontId="49" fillId="43" borderId="38" xfId="0" applyFont="1" applyFill="1" applyBorder="1" applyAlignment="1">
      <alignment horizontal="center" wrapText="1"/>
    </xf>
    <xf numFmtId="0" fontId="83" fillId="43" borderId="0" xfId="0" applyFont="1" applyFill="1" applyAlignment="1">
      <alignment horizontal="left"/>
    </xf>
    <xf numFmtId="0" fontId="47" fillId="45" borderId="39" xfId="0" applyFont="1" applyFill="1" applyBorder="1" applyAlignment="1" applyProtection="1">
      <alignment horizontal="center" vertical="center"/>
      <protection locked="0"/>
    </xf>
    <xf numFmtId="0" fontId="47" fillId="45" borderId="40" xfId="0" applyFont="1" applyFill="1" applyBorder="1" applyAlignment="1" applyProtection="1">
      <alignment horizontal="center" vertical="center"/>
      <protection locked="0"/>
    </xf>
    <xf numFmtId="0" fontId="47" fillId="45" borderId="41" xfId="0" applyFont="1" applyFill="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1476375</xdr:colOff>
      <xdr:row>0</xdr:row>
      <xdr:rowOff>76200</xdr:rowOff>
    </xdr:from>
    <xdr:to>
      <xdr:col>3</xdr:col>
      <xdr:colOff>600075</xdr:colOff>
      <xdr:row>3</xdr:row>
      <xdr:rowOff>142875</xdr:rowOff>
    </xdr:to>
    <xdr:pic>
      <xdr:nvPicPr>
        <xdr:cNvPr id="1" name="Picture 2" descr="LL-new-White-WorldWide-logo.png"/>
        <xdr:cNvPicPr preferRelativeResize="1">
          <a:picLocks noChangeAspect="1"/>
        </xdr:cNvPicPr>
      </xdr:nvPicPr>
      <xdr:blipFill>
        <a:blip r:embed="rId1"/>
        <a:srcRect t="15074" b="26458"/>
        <a:stretch>
          <a:fillRect/>
        </a:stretch>
      </xdr:blipFill>
      <xdr:spPr>
        <a:xfrm>
          <a:off x="2200275" y="76200"/>
          <a:ext cx="33432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1038225</xdr:colOff>
      <xdr:row>0</xdr:row>
      <xdr:rowOff>76200</xdr:rowOff>
    </xdr:from>
    <xdr:to>
      <xdr:col>4</xdr:col>
      <xdr:colOff>352425</xdr:colOff>
      <xdr:row>3</xdr:row>
      <xdr:rowOff>161925</xdr:rowOff>
    </xdr:to>
    <xdr:pic>
      <xdr:nvPicPr>
        <xdr:cNvPr id="1" name="Picture 2" descr="LL-new-White-WorldWide-logo.png"/>
        <xdr:cNvPicPr preferRelativeResize="1">
          <a:picLocks noChangeAspect="1"/>
        </xdr:cNvPicPr>
      </xdr:nvPicPr>
      <xdr:blipFill>
        <a:blip r:embed="rId1"/>
        <a:srcRect t="15074" b="26458"/>
        <a:stretch>
          <a:fillRect/>
        </a:stretch>
      </xdr:blipFill>
      <xdr:spPr>
        <a:xfrm>
          <a:off x="1733550" y="76200"/>
          <a:ext cx="3343275"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8</xdr:row>
      <xdr:rowOff>57150</xdr:rowOff>
    </xdr:from>
    <xdr:to>
      <xdr:col>5</xdr:col>
      <xdr:colOff>485775</xdr:colOff>
      <xdr:row>33</xdr:row>
      <xdr:rowOff>57150</xdr:rowOff>
    </xdr:to>
    <xdr:pic>
      <xdr:nvPicPr>
        <xdr:cNvPr id="1" name="Picture 1" descr="Learning Ladder base Sept 2017.jpg"/>
        <xdr:cNvPicPr preferRelativeResize="1">
          <a:picLocks noChangeAspect="1"/>
        </xdr:cNvPicPr>
      </xdr:nvPicPr>
      <xdr:blipFill>
        <a:blip r:embed="rId1"/>
        <a:stretch>
          <a:fillRect/>
        </a:stretch>
      </xdr:blipFill>
      <xdr:spPr>
        <a:xfrm>
          <a:off x="152400" y="1409700"/>
          <a:ext cx="4438650" cy="3714750"/>
        </a:xfrm>
        <a:prstGeom prst="rect">
          <a:avLst/>
        </a:prstGeom>
        <a:noFill/>
        <a:ln w="9525" cmpd="sng">
          <a:solidFill>
            <a:srgbClr val="000000"/>
          </a:solidFill>
          <a:headEnd type="none"/>
          <a:tailEnd type="none"/>
        </a:ln>
      </xdr:spPr>
    </xdr:pic>
    <xdr:clientData/>
  </xdr:twoCellAnchor>
  <xdr:twoCellAnchor editAs="oneCell">
    <xdr:from>
      <xdr:col>2</xdr:col>
      <xdr:colOff>695325</xdr:colOff>
      <xdr:row>0</xdr:row>
      <xdr:rowOff>66675</xdr:rowOff>
    </xdr:from>
    <xdr:to>
      <xdr:col>4</xdr:col>
      <xdr:colOff>952500</xdr:colOff>
      <xdr:row>2</xdr:row>
      <xdr:rowOff>123825</xdr:rowOff>
    </xdr:to>
    <xdr:pic>
      <xdr:nvPicPr>
        <xdr:cNvPr id="2" name="Picture 2" descr="LL-new-White-WorldWide-logo.png"/>
        <xdr:cNvPicPr preferRelativeResize="1">
          <a:picLocks noChangeAspect="1"/>
        </xdr:cNvPicPr>
      </xdr:nvPicPr>
      <xdr:blipFill>
        <a:blip r:embed="rId2"/>
        <a:srcRect t="15074" b="26458"/>
        <a:stretch>
          <a:fillRect/>
        </a:stretch>
      </xdr:blipFill>
      <xdr:spPr>
        <a:xfrm>
          <a:off x="2219325" y="66675"/>
          <a:ext cx="1781175"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J42"/>
  <sheetViews>
    <sheetView zoomScale="200" zoomScaleNormal="200" workbookViewId="0" topLeftCell="A1">
      <selection activeCell="I21" sqref="I21"/>
    </sheetView>
  </sheetViews>
  <sheetFormatPr defaultColWidth="11.421875" defaultRowHeight="12.75"/>
  <cols>
    <col min="1" max="1" width="8.421875" style="0" customWidth="1"/>
    <col min="2" max="2" width="11.8515625" style="0" customWidth="1"/>
    <col min="3" max="4" width="9.7109375" style="0" customWidth="1"/>
    <col min="5" max="5" width="9.140625" style="0" customWidth="1"/>
    <col min="6" max="6" width="12.00390625" style="0" customWidth="1"/>
    <col min="7" max="7" width="10.8515625" style="0" customWidth="1"/>
    <col min="8" max="8" width="7.140625" style="0" customWidth="1"/>
    <col min="9" max="9" width="12.00390625" style="0" customWidth="1"/>
    <col min="10" max="10" width="13.00390625" style="0" customWidth="1"/>
    <col min="11" max="11" width="4.421875" style="0" customWidth="1"/>
  </cols>
  <sheetData>
    <row r="1" spans="1:10" ht="12">
      <c r="A1" s="6" t="s">
        <v>34</v>
      </c>
      <c r="B1" s="7"/>
      <c r="C1" s="7"/>
      <c r="D1" s="7"/>
      <c r="E1" s="7"/>
      <c r="F1" s="7"/>
      <c r="G1" s="5" t="s">
        <v>18</v>
      </c>
      <c r="H1" s="7"/>
      <c r="I1" s="7"/>
      <c r="J1" s="5" t="s">
        <v>30</v>
      </c>
    </row>
    <row r="2" spans="1:10" ht="12">
      <c r="A2" s="7"/>
      <c r="B2" s="7"/>
      <c r="C2" s="7"/>
      <c r="D2" s="5" t="s">
        <v>23</v>
      </c>
      <c r="E2" s="5" t="s">
        <v>26</v>
      </c>
      <c r="F2" s="5" t="s">
        <v>14</v>
      </c>
      <c r="G2" s="5" t="s">
        <v>19</v>
      </c>
      <c r="H2" s="5" t="s">
        <v>49</v>
      </c>
      <c r="I2" s="5"/>
      <c r="J2" s="5" t="s">
        <v>27</v>
      </c>
    </row>
    <row r="3" spans="1:10" ht="12">
      <c r="A3" s="7"/>
      <c r="B3" s="5" t="s">
        <v>7</v>
      </c>
      <c r="C3" s="5" t="s">
        <v>10</v>
      </c>
      <c r="D3" s="5" t="s">
        <v>24</v>
      </c>
      <c r="E3" s="5" t="s">
        <v>23</v>
      </c>
      <c r="F3" s="5" t="s">
        <v>17</v>
      </c>
      <c r="G3" s="1">
        <v>2</v>
      </c>
      <c r="H3" s="5" t="s">
        <v>50</v>
      </c>
      <c r="I3" s="5"/>
      <c r="J3" s="5" t="s">
        <v>28</v>
      </c>
    </row>
    <row r="4" spans="1:10" ht="12.75" customHeight="1">
      <c r="A4" s="7"/>
      <c r="B4" s="5" t="s">
        <v>8</v>
      </c>
      <c r="C4" s="5" t="s">
        <v>11</v>
      </c>
      <c r="D4" s="20" t="str">
        <f>IF(D5=350,("Sampling Pak"),IF(D5=950,("Xec Pak"),IF(D5=1500,("Master Pak"),("Choose Pak"))))</f>
        <v>Choose Pak</v>
      </c>
      <c r="E4" s="5" t="s">
        <v>24</v>
      </c>
      <c r="F4" s="5" t="s">
        <v>16</v>
      </c>
      <c r="G4" s="5" t="s">
        <v>20</v>
      </c>
      <c r="H4" s="5" t="s">
        <v>51</v>
      </c>
      <c r="I4" s="5"/>
      <c r="J4" s="5" t="s">
        <v>13</v>
      </c>
    </row>
    <row r="5" spans="1:10" ht="12">
      <c r="A5" s="7"/>
      <c r="B5" s="5" t="s">
        <v>9</v>
      </c>
      <c r="C5" s="5" t="s">
        <v>12</v>
      </c>
      <c r="D5" s="30">
        <v>399</v>
      </c>
      <c r="E5" s="5" t="s">
        <v>25</v>
      </c>
      <c r="F5" s="5">
        <v>50</v>
      </c>
      <c r="G5" s="8">
        <v>50</v>
      </c>
      <c r="H5" s="5" t="s">
        <v>6</v>
      </c>
      <c r="I5" s="5"/>
      <c r="J5" s="5" t="s">
        <v>12</v>
      </c>
    </row>
    <row r="6" spans="1:10" ht="12">
      <c r="A6" s="7"/>
      <c r="B6" s="5"/>
      <c r="C6" s="5"/>
      <c r="D6" s="5" t="str">
        <f>IF(D5=399,(" "),IF(D5=950,(" "),IF(D5=1500,(" "),("Choose 399, 950, or 1500"))))</f>
        <v> </v>
      </c>
      <c r="G6" s="7"/>
      <c r="H6" s="5"/>
      <c r="I6" s="5"/>
      <c r="J6" s="5"/>
    </row>
    <row r="7" spans="1:10" ht="18">
      <c r="A7" s="7"/>
      <c r="B7" s="5" t="s">
        <v>22</v>
      </c>
      <c r="C7" s="5"/>
      <c r="D7" s="5"/>
      <c r="F7" s="29"/>
      <c r="H7" s="9"/>
      <c r="I7" s="9"/>
      <c r="J7" s="10"/>
    </row>
    <row r="8" spans="1:10" ht="12">
      <c r="A8" s="7" t="s">
        <v>0</v>
      </c>
      <c r="B8" s="2">
        <v>0</v>
      </c>
      <c r="C8" s="5">
        <f>B8</f>
        <v>0</v>
      </c>
      <c r="D8" s="5">
        <f>HLOOKUP($D$5,$B$36:$E$42,2,TRUE)</f>
        <v>125</v>
      </c>
      <c r="E8" s="5">
        <f>C8*D8</f>
        <v>0</v>
      </c>
      <c r="F8" s="7">
        <f aca="true" t="shared" si="0" ref="F8:F13">C8*$F$5</f>
        <v>0</v>
      </c>
      <c r="G8" s="7">
        <f>G3*$G$5</f>
        <v>100</v>
      </c>
      <c r="H8" s="11">
        <v>0.15</v>
      </c>
      <c r="I8" s="11"/>
      <c r="J8" s="10">
        <f aca="true" t="shared" si="1" ref="J8:J13">(F8+G8)*H8</f>
        <v>15</v>
      </c>
    </row>
    <row r="9" spans="1:10" ht="12">
      <c r="A9" s="7" t="s">
        <v>1</v>
      </c>
      <c r="B9" s="1">
        <v>0</v>
      </c>
      <c r="C9" s="5">
        <f>C8*B9</f>
        <v>0</v>
      </c>
      <c r="D9" s="5">
        <f>HLOOKUP($D$5,$B$36:$E$42,3,TRUE)</f>
        <v>25</v>
      </c>
      <c r="E9" s="5">
        <f>C9*D9</f>
        <v>0</v>
      </c>
      <c r="F9" s="7">
        <f t="shared" si="0"/>
        <v>0</v>
      </c>
      <c r="G9" s="7">
        <f>C8*$G$3*$G$5</f>
        <v>0</v>
      </c>
      <c r="H9" s="11">
        <v>0.1</v>
      </c>
      <c r="I9" s="24" t="str">
        <f>IF(J9=0," ",IF($B$8&gt;=2," ","Need 2 Personal"))</f>
        <v> </v>
      </c>
      <c r="J9" s="10">
        <f t="shared" si="1"/>
        <v>0</v>
      </c>
    </row>
    <row r="10" spans="1:10" ht="12">
      <c r="A10" s="7" t="s">
        <v>2</v>
      </c>
      <c r="B10" s="1">
        <v>0</v>
      </c>
      <c r="C10" s="5">
        <f>C9*B10</f>
        <v>0</v>
      </c>
      <c r="D10" s="5"/>
      <c r="E10" s="5"/>
      <c r="F10" s="7">
        <f t="shared" si="0"/>
        <v>0</v>
      </c>
      <c r="G10" s="7">
        <f>C9*$G$3*$G$5</f>
        <v>0</v>
      </c>
      <c r="H10" s="11">
        <v>0.1</v>
      </c>
      <c r="I10" s="24" t="str">
        <f>IF(J10=0," ",IF($B$8&gt;=3," ","Need 3 Personal"))</f>
        <v> </v>
      </c>
      <c r="J10" s="10">
        <f t="shared" si="1"/>
        <v>0</v>
      </c>
    </row>
    <row r="11" spans="1:10" ht="12">
      <c r="A11" s="7" t="s">
        <v>3</v>
      </c>
      <c r="B11" s="1">
        <v>0</v>
      </c>
      <c r="C11" s="5">
        <f>C10*B11</f>
        <v>0</v>
      </c>
      <c r="D11" s="5"/>
      <c r="E11" s="5"/>
      <c r="F11" s="7">
        <f t="shared" si="0"/>
        <v>0</v>
      </c>
      <c r="G11" s="7">
        <f>C10*$G$3*$G$5</f>
        <v>0</v>
      </c>
      <c r="H11" s="11">
        <v>0.05</v>
      </c>
      <c r="I11" s="24" t="str">
        <f>IF(J11=0," ",IF($B$8&gt;=4," ","Need 4 Personal"))</f>
        <v> </v>
      </c>
      <c r="J11" s="10">
        <f t="shared" si="1"/>
        <v>0</v>
      </c>
    </row>
    <row r="12" spans="1:10" ht="12">
      <c r="A12" s="7" t="s">
        <v>4</v>
      </c>
      <c r="B12" s="1">
        <v>0</v>
      </c>
      <c r="C12" s="5">
        <f>C11*B12</f>
        <v>0</v>
      </c>
      <c r="D12" s="5"/>
      <c r="E12" s="5"/>
      <c r="F12" s="7">
        <f t="shared" si="0"/>
        <v>0</v>
      </c>
      <c r="G12" s="7">
        <f>C11*$G$3*$G$5</f>
        <v>0</v>
      </c>
      <c r="H12" s="11">
        <v>0.05</v>
      </c>
      <c r="I12" s="24" t="str">
        <f>IF(J12=0," ",IF($B$8&gt;=5," ","Need 5 Personal"))</f>
        <v> </v>
      </c>
      <c r="J12" s="10">
        <f t="shared" si="1"/>
        <v>0</v>
      </c>
    </row>
    <row r="13" spans="1:10" ht="12">
      <c r="A13" s="7" t="s">
        <v>5</v>
      </c>
      <c r="B13" s="1">
        <v>0</v>
      </c>
      <c r="C13" s="5">
        <f>C12*B13</f>
        <v>0</v>
      </c>
      <c r="D13" s="5"/>
      <c r="E13" s="13"/>
      <c r="F13" s="7">
        <f t="shared" si="0"/>
        <v>0</v>
      </c>
      <c r="G13" s="7">
        <f>C12*$G$3*$G$5</f>
        <v>0</v>
      </c>
      <c r="H13" s="11">
        <v>0.05</v>
      </c>
      <c r="I13" s="28" t="str">
        <f>IF(J13=0," ",IF($B$8&gt;=6," ","Need 6/2 Personal"))</f>
        <v> </v>
      </c>
      <c r="J13" s="10">
        <f t="shared" si="1"/>
        <v>0</v>
      </c>
    </row>
    <row r="14" spans="1:10" ht="12">
      <c r="A14" s="7" t="s">
        <v>29</v>
      </c>
      <c r="B14" s="7"/>
      <c r="C14" s="17">
        <f>SUM(C8:C13)</f>
        <v>0</v>
      </c>
      <c r="D14" s="7"/>
      <c r="E14" s="14">
        <f>IF(D6=" ",(SUM(E8:E13)),("Pak Error"))</f>
        <v>0</v>
      </c>
      <c r="F14" s="7"/>
      <c r="G14" s="7"/>
      <c r="H14" s="11"/>
      <c r="I14" s="11"/>
      <c r="J14" s="14">
        <f>SUM(J7:J13)</f>
        <v>15</v>
      </c>
    </row>
    <row r="15" spans="1:10" ht="12">
      <c r="A15" s="7"/>
      <c r="B15" s="7"/>
      <c r="C15" s="8"/>
      <c r="D15" s="7"/>
      <c r="E15" s="15"/>
      <c r="F15" s="7"/>
      <c r="G15" s="7"/>
      <c r="H15" s="11"/>
      <c r="I15" s="11"/>
      <c r="J15" s="15"/>
    </row>
    <row r="16" spans="1:10" ht="12">
      <c r="A16" s="16" t="s">
        <v>15</v>
      </c>
      <c r="B16" s="7"/>
      <c r="C16" s="7"/>
      <c r="D16" s="7"/>
      <c r="E16" s="7"/>
      <c r="F16" s="7"/>
      <c r="G16" s="7"/>
      <c r="I16" s="18" t="s">
        <v>35</v>
      </c>
      <c r="J16" s="19">
        <f>J14*12</f>
        <v>180</v>
      </c>
    </row>
    <row r="17" spans="1:10" ht="12">
      <c r="A17" s="16" t="s">
        <v>48</v>
      </c>
      <c r="B17" s="7"/>
      <c r="C17" s="7"/>
      <c r="D17" s="7"/>
      <c r="E17" s="7"/>
      <c r="F17" s="7"/>
      <c r="G17" s="7"/>
      <c r="H17" s="7"/>
      <c r="I17" s="7"/>
      <c r="J17" s="7"/>
    </row>
    <row r="18" spans="1:10" ht="12" customHeight="1">
      <c r="A18" s="61" t="s">
        <v>31</v>
      </c>
      <c r="B18" s="61"/>
      <c r="C18" s="61"/>
      <c r="D18" s="61"/>
      <c r="E18" s="61"/>
      <c r="F18" s="61"/>
      <c r="G18" s="7"/>
      <c r="I18" s="62" t="s">
        <v>32</v>
      </c>
      <c r="J18" s="63"/>
    </row>
    <row r="19" spans="1:10" ht="12" customHeight="1">
      <c r="A19" s="61"/>
      <c r="B19" s="61"/>
      <c r="C19" s="61"/>
      <c r="D19" s="61"/>
      <c r="E19" s="61"/>
      <c r="F19" s="61"/>
      <c r="G19" s="7"/>
      <c r="H19" s="25"/>
      <c r="I19" s="64"/>
      <c r="J19" s="65"/>
    </row>
    <row r="20" spans="1:10" ht="12">
      <c r="A20" s="61"/>
      <c r="B20" s="61"/>
      <c r="C20" s="61"/>
      <c r="D20" s="61"/>
      <c r="E20" s="61"/>
      <c r="F20" s="61"/>
      <c r="G20" s="7"/>
      <c r="H20" s="25"/>
      <c r="I20" s="64"/>
      <c r="J20" s="65"/>
    </row>
    <row r="21" spans="1:10" ht="12">
      <c r="A21" s="61"/>
      <c r="B21" s="61"/>
      <c r="C21" s="61"/>
      <c r="D21" s="61"/>
      <c r="E21" s="61"/>
      <c r="F21" s="61"/>
      <c r="G21" s="23" t="s">
        <v>66</v>
      </c>
      <c r="I21" s="26">
        <v>0.01</v>
      </c>
      <c r="J21" s="27">
        <f>J14/(I21/12)</f>
        <v>18000</v>
      </c>
    </row>
    <row r="22" spans="1:10" ht="12">
      <c r="A22" s="7"/>
      <c r="B22" s="7"/>
      <c r="C22" s="7"/>
      <c r="D22" s="7"/>
      <c r="E22" s="7"/>
      <c r="F22" s="7"/>
      <c r="G22" s="7"/>
      <c r="H22" s="7"/>
      <c r="I22" s="7"/>
      <c r="J22" s="7"/>
    </row>
    <row r="23" spans="1:10" ht="12">
      <c r="A23" s="7"/>
      <c r="B23" s="7"/>
      <c r="C23" s="7"/>
      <c r="D23" s="7"/>
      <c r="E23" s="7"/>
      <c r="F23" s="7"/>
      <c r="G23" s="7"/>
      <c r="H23" s="7"/>
      <c r="I23" s="7"/>
      <c r="J23" s="7"/>
    </row>
    <row r="24" spans="1:10" ht="12">
      <c r="A24" s="7"/>
      <c r="B24" s="7"/>
      <c r="C24" s="7"/>
      <c r="D24" s="7"/>
      <c r="E24" s="7"/>
      <c r="F24" s="7"/>
      <c r="G24" s="7"/>
      <c r="H24" s="7"/>
      <c r="I24" s="7"/>
      <c r="J24" s="7"/>
    </row>
    <row r="25" spans="1:10" ht="12">
      <c r="A25" s="7"/>
      <c r="B25" s="7"/>
      <c r="C25" s="7"/>
      <c r="D25" s="7"/>
      <c r="E25" s="7"/>
      <c r="F25" s="7"/>
      <c r="G25" s="7"/>
      <c r="H25" s="7"/>
      <c r="I25" s="7"/>
      <c r="J25" s="7"/>
    </row>
    <row r="26" spans="1:10" ht="12">
      <c r="A26" s="7"/>
      <c r="B26" s="7"/>
      <c r="C26" s="7"/>
      <c r="D26" s="7"/>
      <c r="E26" s="7"/>
      <c r="F26" s="7"/>
      <c r="G26" s="7"/>
      <c r="H26" s="7"/>
      <c r="I26" s="7"/>
      <c r="J26" s="7"/>
    </row>
    <row r="27" spans="1:10" ht="12">
      <c r="A27" s="3"/>
      <c r="B27" s="3"/>
      <c r="C27" s="3"/>
      <c r="D27" s="3"/>
      <c r="E27" s="3"/>
      <c r="F27" s="3"/>
      <c r="G27" s="3"/>
      <c r="H27" s="3"/>
      <c r="I27" s="3"/>
      <c r="J27" s="3"/>
    </row>
    <row r="28" spans="1:10" ht="12">
      <c r="A28" s="3"/>
      <c r="B28" s="3"/>
      <c r="C28" s="3"/>
      <c r="D28" s="3"/>
      <c r="E28" s="3"/>
      <c r="F28" s="3"/>
      <c r="G28" s="3"/>
      <c r="H28" s="3"/>
      <c r="I28" s="3"/>
      <c r="J28" s="3"/>
    </row>
    <row r="29" spans="1:10" ht="12">
      <c r="A29" s="3"/>
      <c r="B29" s="3"/>
      <c r="C29" s="3"/>
      <c r="D29" s="3"/>
      <c r="E29" s="3"/>
      <c r="F29" s="3"/>
      <c r="G29" s="3"/>
      <c r="H29" s="3"/>
      <c r="I29" s="3"/>
      <c r="J29" s="3"/>
    </row>
    <row r="30" spans="1:10" ht="12">
      <c r="A30" s="3"/>
      <c r="B30" s="3"/>
      <c r="C30" s="3"/>
      <c r="D30" s="3"/>
      <c r="E30" s="3"/>
      <c r="F30" s="3"/>
      <c r="G30" s="3"/>
      <c r="H30" s="3"/>
      <c r="I30" s="3"/>
      <c r="J30" s="3"/>
    </row>
    <row r="31" spans="1:10" ht="12">
      <c r="A31" s="3"/>
      <c r="B31" s="3"/>
      <c r="C31" s="3"/>
      <c r="D31" s="3"/>
      <c r="E31" s="3"/>
      <c r="F31" s="3"/>
      <c r="G31" s="3"/>
      <c r="H31" s="3"/>
      <c r="I31" s="3"/>
      <c r="J31" s="3"/>
    </row>
    <row r="32" spans="1:10" ht="12">
      <c r="A32" s="3"/>
      <c r="B32" s="3"/>
      <c r="C32" s="3"/>
      <c r="D32" s="3"/>
      <c r="E32" s="3"/>
      <c r="F32" s="3"/>
      <c r="G32" s="3"/>
      <c r="H32" s="3"/>
      <c r="I32" s="3"/>
      <c r="J32" s="3"/>
    </row>
    <row r="33" spans="1:10" ht="12">
      <c r="A33" s="3"/>
      <c r="B33" s="3"/>
      <c r="C33" s="3"/>
      <c r="D33" s="3"/>
      <c r="E33" s="3"/>
      <c r="F33" s="3"/>
      <c r="G33" s="3"/>
      <c r="H33" s="3"/>
      <c r="I33" s="3"/>
      <c r="J33" s="3"/>
    </row>
    <row r="34" spans="1:10" ht="12" hidden="1">
      <c r="A34" s="3"/>
      <c r="B34" s="3"/>
      <c r="C34" s="3"/>
      <c r="D34" s="3"/>
      <c r="E34" s="3"/>
      <c r="F34" s="3"/>
      <c r="G34" s="3"/>
      <c r="H34" s="3"/>
      <c r="I34" s="3"/>
      <c r="J34" s="3"/>
    </row>
    <row r="35" spans="1:10" ht="12" hidden="1">
      <c r="A35" s="3"/>
      <c r="B35" s="3"/>
      <c r="C35" s="3"/>
      <c r="D35" s="3"/>
      <c r="E35" s="3"/>
      <c r="F35" s="3"/>
      <c r="G35" s="3"/>
      <c r="H35" s="3"/>
      <c r="I35" s="3"/>
      <c r="J35" s="3"/>
    </row>
    <row r="36" spans="1:10" ht="12" hidden="1">
      <c r="A36" s="3"/>
      <c r="B36" s="3">
        <v>399</v>
      </c>
      <c r="C36" s="3">
        <v>950</v>
      </c>
      <c r="D36" s="3">
        <v>1500</v>
      </c>
      <c r="E36" s="3">
        <v>0</v>
      </c>
      <c r="F36" s="3"/>
      <c r="G36" s="3"/>
      <c r="H36" s="3"/>
      <c r="I36" s="3"/>
      <c r="J36" s="3"/>
    </row>
    <row r="37" spans="2:5" ht="12" hidden="1">
      <c r="B37">
        <v>125</v>
      </c>
      <c r="C37">
        <v>250</v>
      </c>
      <c r="D37">
        <v>350</v>
      </c>
      <c r="E37">
        <v>0</v>
      </c>
    </row>
    <row r="38" spans="2:5" ht="12" hidden="1">
      <c r="B38">
        <v>25</v>
      </c>
      <c r="C38">
        <v>50</v>
      </c>
      <c r="D38">
        <v>50</v>
      </c>
      <c r="E38">
        <v>0</v>
      </c>
    </row>
    <row r="39" spans="2:5" ht="12" hidden="1">
      <c r="B39">
        <v>0</v>
      </c>
      <c r="C39">
        <v>0</v>
      </c>
      <c r="D39">
        <v>0</v>
      </c>
      <c r="E39">
        <v>0</v>
      </c>
    </row>
    <row r="40" spans="2:5" ht="12" hidden="1">
      <c r="B40">
        <v>0</v>
      </c>
      <c r="C40">
        <v>0</v>
      </c>
      <c r="D40">
        <v>0</v>
      </c>
      <c r="E40">
        <v>0</v>
      </c>
    </row>
    <row r="41" spans="2:5" ht="12" hidden="1">
      <c r="B41">
        <v>0</v>
      </c>
      <c r="C41">
        <v>0</v>
      </c>
      <c r="D41">
        <v>0</v>
      </c>
      <c r="E41">
        <v>0</v>
      </c>
    </row>
    <row r="42" spans="2:5" ht="12" hidden="1">
      <c r="B42">
        <v>0</v>
      </c>
      <c r="C42">
        <v>0</v>
      </c>
      <c r="D42">
        <v>0</v>
      </c>
      <c r="E42">
        <v>0</v>
      </c>
    </row>
    <row r="43" ht="12" hidden="1"/>
  </sheetData>
  <sheetProtection password="8566" sheet="1" objects="1" scenarios="1" selectLockedCells="1"/>
  <mergeCells count="2">
    <mergeCell ref="A18:F21"/>
    <mergeCell ref="I18:J20"/>
  </mergeCells>
  <printOptions horizontalCentered="1"/>
  <pageMargins left="0.58" right="0.5" top="0.5" bottom="0.5" header="0.5" footer="0.5"/>
  <pageSetup fitToHeight="1" fitToWidth="1" orientation="landscape"/>
</worksheet>
</file>

<file path=xl/worksheets/sheet2.xml><?xml version="1.0" encoding="utf-8"?>
<worksheet xmlns="http://schemas.openxmlformats.org/spreadsheetml/2006/main" xmlns:r="http://schemas.openxmlformats.org/officeDocument/2006/relationships">
  <sheetPr>
    <pageSetUpPr fitToPage="1"/>
  </sheetPr>
  <dimension ref="A1:J44"/>
  <sheetViews>
    <sheetView zoomScale="200" zoomScaleNormal="200" workbookViewId="0" topLeftCell="A1">
      <selection activeCell="B12" sqref="B12"/>
    </sheetView>
  </sheetViews>
  <sheetFormatPr defaultColWidth="11.421875" defaultRowHeight="12.75"/>
  <cols>
    <col min="1" max="1" width="11.00390625" style="7" customWidth="1"/>
    <col min="2" max="2" width="11.8515625" style="7" customWidth="1"/>
    <col min="3" max="4" width="9.7109375" style="7" customWidth="1"/>
    <col min="5" max="5" width="8.421875" style="7" customWidth="1"/>
    <col min="6" max="6" width="10.00390625" style="7" customWidth="1"/>
    <col min="7" max="8" width="8.00390625" style="7" customWidth="1"/>
    <col min="9" max="9" width="6.421875" style="7" customWidth="1"/>
    <col min="10" max="10" width="13.7109375" style="7" customWidth="1"/>
    <col min="11" max="11" width="4.421875" style="7" customWidth="1"/>
    <col min="12" max="16384" width="10.8515625" style="7" customWidth="1"/>
  </cols>
  <sheetData>
    <row r="1" spans="1:10" ht="12">
      <c r="A1" s="6" t="s">
        <v>36</v>
      </c>
      <c r="H1" s="5" t="s">
        <v>56</v>
      </c>
      <c r="J1" s="5" t="s">
        <v>30</v>
      </c>
    </row>
    <row r="2" spans="4:10" ht="12">
      <c r="D2" s="5" t="s">
        <v>23</v>
      </c>
      <c r="E2" s="5" t="s">
        <v>26</v>
      </c>
      <c r="F2" s="5" t="s">
        <v>14</v>
      </c>
      <c r="G2" s="5" t="s">
        <v>53</v>
      </c>
      <c r="H2" s="5" t="s">
        <v>55</v>
      </c>
      <c r="J2" s="5" t="s">
        <v>44</v>
      </c>
    </row>
    <row r="3" spans="2:10" ht="12">
      <c r="B3" s="5" t="s">
        <v>7</v>
      </c>
      <c r="C3" s="5" t="s">
        <v>10</v>
      </c>
      <c r="D3" s="5" t="s">
        <v>24</v>
      </c>
      <c r="E3" s="5" t="s">
        <v>23</v>
      </c>
      <c r="F3" s="5" t="s">
        <v>17</v>
      </c>
      <c r="G3" s="5" t="s">
        <v>54</v>
      </c>
      <c r="H3" s="4">
        <v>2</v>
      </c>
      <c r="I3" s="5" t="s">
        <v>57</v>
      </c>
      <c r="J3" s="5" t="s">
        <v>45</v>
      </c>
    </row>
    <row r="4" spans="2:10" ht="13.5" customHeight="1">
      <c r="B4" s="5" t="s">
        <v>8</v>
      </c>
      <c r="C4" s="5" t="s">
        <v>11</v>
      </c>
      <c r="D4" s="20" t="str">
        <f>IF(D5=350,("Sampling Pak"),IF(D5=950,("Xec Pak"),IF(D5=1500,("Master Pak"),("Choose Pak"))))</f>
        <v>Master Pak</v>
      </c>
      <c r="E4" s="5" t="s">
        <v>24</v>
      </c>
      <c r="F4" s="5" t="s">
        <v>47</v>
      </c>
      <c r="G4" s="5" t="s">
        <v>52</v>
      </c>
      <c r="H4" s="5" t="s">
        <v>20</v>
      </c>
      <c r="I4" s="5" t="s">
        <v>54</v>
      </c>
      <c r="J4" s="5" t="s">
        <v>13</v>
      </c>
    </row>
    <row r="5" spans="2:10" ht="12">
      <c r="B5" s="5" t="s">
        <v>9</v>
      </c>
      <c r="C5" s="5" t="s">
        <v>12</v>
      </c>
      <c r="D5" s="30">
        <v>1500</v>
      </c>
      <c r="E5" s="5" t="s">
        <v>25</v>
      </c>
      <c r="F5" s="5">
        <v>350</v>
      </c>
      <c r="G5" s="5" t="s">
        <v>21</v>
      </c>
      <c r="H5" s="8">
        <v>50</v>
      </c>
      <c r="I5" s="5" t="s">
        <v>6</v>
      </c>
      <c r="J5" s="5" t="s">
        <v>46</v>
      </c>
    </row>
    <row r="6" spans="2:10" ht="12">
      <c r="B6" s="5"/>
      <c r="C6" s="5"/>
      <c r="D6" s="5" t="str">
        <f>IF(D5=399,(" "),IF(D5=950,(" "),IF(D5=1500,(" "),("Choose 399, 950, or 1500"))))</f>
        <v> </v>
      </c>
      <c r="E6" s="5"/>
      <c r="F6" s="5"/>
      <c r="G6" s="5"/>
      <c r="I6" s="5"/>
      <c r="J6" s="5"/>
    </row>
    <row r="7" spans="2:10" ht="12.75" customHeight="1">
      <c r="B7" s="5" t="s">
        <v>22</v>
      </c>
      <c r="C7" s="5"/>
      <c r="D7" s="5"/>
      <c r="E7" s="5"/>
      <c r="F7" s="29"/>
      <c r="J7" s="10"/>
    </row>
    <row r="8" spans="1:10" ht="12">
      <c r="A8" s="7" t="s">
        <v>0</v>
      </c>
      <c r="B8" s="2">
        <v>12</v>
      </c>
      <c r="C8" s="5">
        <f>B8</f>
        <v>12</v>
      </c>
      <c r="D8" s="5">
        <f>HLOOKUP($D$5,$B$38:$E$44,2,TRUE)</f>
        <v>350</v>
      </c>
      <c r="E8" s="5">
        <f>C8*D8</f>
        <v>4200</v>
      </c>
      <c r="F8" s="7">
        <f aca="true" t="shared" si="0" ref="F8:F15">C8*$F$5</f>
        <v>4200</v>
      </c>
      <c r="G8" s="11">
        <v>0.15</v>
      </c>
      <c r="H8" s="7">
        <f>H3*$H$5</f>
        <v>100</v>
      </c>
      <c r="I8" s="9">
        <v>0.15</v>
      </c>
      <c r="J8" s="32">
        <f>IF($B$8&gt;=3,((F8*G8)+(H8*I8)),("Need at least 3 Personal"))</f>
        <v>645</v>
      </c>
    </row>
    <row r="9" spans="1:10" ht="12">
      <c r="A9" s="7" t="s">
        <v>37</v>
      </c>
      <c r="B9" s="4">
        <v>3</v>
      </c>
      <c r="C9" s="5">
        <f aca="true" t="shared" si="1" ref="C9:C15">C8*B9</f>
        <v>36</v>
      </c>
      <c r="D9" s="5">
        <f>HLOOKUP($D$5,$B$38:$E$44,3,TRUE)</f>
        <v>50</v>
      </c>
      <c r="E9" s="5">
        <f>C9*D9</f>
        <v>1800</v>
      </c>
      <c r="F9" s="7">
        <f t="shared" si="0"/>
        <v>12600</v>
      </c>
      <c r="G9" s="11">
        <v>0.1</v>
      </c>
      <c r="H9" s="7">
        <f>C8*$H$3*$H$5</f>
        <v>1200</v>
      </c>
      <c r="I9" s="11">
        <v>0.1</v>
      </c>
      <c r="J9" s="32">
        <f>IF(B8&lt;3,(0),IF($B$9&gt;=1,((F9*G9)+(H9*I9)),("Need 1 Generation 1")))</f>
        <v>1380</v>
      </c>
    </row>
    <row r="10" spans="1:10" ht="12">
      <c r="A10" s="7" t="s">
        <v>38</v>
      </c>
      <c r="B10" s="4">
        <v>1</v>
      </c>
      <c r="C10" s="5">
        <f t="shared" si="1"/>
        <v>36</v>
      </c>
      <c r="D10" s="5"/>
      <c r="E10" s="5"/>
      <c r="F10" s="7">
        <f t="shared" si="0"/>
        <v>12600</v>
      </c>
      <c r="G10" s="11">
        <v>0.1</v>
      </c>
      <c r="H10" s="7">
        <f>C9*$H$3*$H$5</f>
        <v>3600</v>
      </c>
      <c r="I10" s="11">
        <v>0.1</v>
      </c>
      <c r="J10" s="32">
        <f>IF(B8&lt;3,(0),IF(B9=0,(0),IF($B$9&gt;=2,((F10*G10)+(H10*I10)),("Need 2 Generation 1"))))</f>
        <v>1620</v>
      </c>
    </row>
    <row r="11" spans="1:10" ht="12">
      <c r="A11" s="7" t="s">
        <v>39</v>
      </c>
      <c r="B11" s="4">
        <v>1</v>
      </c>
      <c r="C11" s="5">
        <f t="shared" si="1"/>
        <v>36</v>
      </c>
      <c r="D11" s="5"/>
      <c r="E11" s="5"/>
      <c r="F11" s="7">
        <f t="shared" si="0"/>
        <v>12600</v>
      </c>
      <c r="G11" s="11">
        <v>0.1</v>
      </c>
      <c r="H11" s="7">
        <f>C10*$H$3*$H$5</f>
        <v>3600</v>
      </c>
      <c r="I11" s="11">
        <v>0.05</v>
      </c>
      <c r="J11" s="32">
        <f>IF(B8&lt;3,(0),IF(B10=0,(0),IF($B$9&gt;=3,((F11*G11)+(H11*I11)),("Need 3 Generation 1"))))</f>
        <v>1440</v>
      </c>
    </row>
    <row r="12" spans="1:10" ht="12">
      <c r="A12" s="7" t="s">
        <v>40</v>
      </c>
      <c r="B12" s="4">
        <v>0</v>
      </c>
      <c r="C12" s="5">
        <f t="shared" si="1"/>
        <v>0</v>
      </c>
      <c r="D12" s="5"/>
      <c r="E12" s="5"/>
      <c r="F12" s="7">
        <f t="shared" si="0"/>
        <v>0</v>
      </c>
      <c r="G12" s="11">
        <v>0.1</v>
      </c>
      <c r="H12" s="7">
        <f>C11*$H$3*$H$5</f>
        <v>3600</v>
      </c>
      <c r="I12" s="11">
        <v>0.05</v>
      </c>
      <c r="J12" s="32" t="str">
        <f>IF(B8&lt;3,(0),IF(B11=0,(0),IF($B$9&gt;=4,((F12*G12)+(H12*I12)),("Need 4 Generation 1"))))</f>
        <v>Need 4 Generation 1</v>
      </c>
    </row>
    <row r="13" spans="1:10" ht="12">
      <c r="A13" s="7" t="s">
        <v>41</v>
      </c>
      <c r="B13" s="4">
        <v>0</v>
      </c>
      <c r="C13" s="5">
        <f t="shared" si="1"/>
        <v>0</v>
      </c>
      <c r="D13" s="5"/>
      <c r="E13" s="13"/>
      <c r="F13" s="7">
        <f t="shared" si="0"/>
        <v>0</v>
      </c>
      <c r="G13" s="11">
        <v>0.1</v>
      </c>
      <c r="H13" s="7">
        <f>C12*$H$3*$H$5</f>
        <v>0</v>
      </c>
      <c r="I13" s="11">
        <v>0.05</v>
      </c>
      <c r="J13" s="32">
        <f>IF(B8&lt;3,(0),IF(B12=0,(0),IF($B$9&gt;=5,((F13*G13)+(H13*I13)),("Need 5 Generation 1"))))</f>
        <v>0</v>
      </c>
    </row>
    <row r="14" spans="1:10" ht="12">
      <c r="A14" s="7" t="s">
        <v>42</v>
      </c>
      <c r="B14" s="4">
        <v>0</v>
      </c>
      <c r="C14" s="5">
        <f t="shared" si="1"/>
        <v>0</v>
      </c>
      <c r="D14" s="5"/>
      <c r="E14" s="13"/>
      <c r="F14" s="7">
        <f t="shared" si="0"/>
        <v>0</v>
      </c>
      <c r="G14" s="11">
        <v>0.1</v>
      </c>
      <c r="I14" s="11"/>
      <c r="J14" s="32">
        <f>IF(B8&lt;3,(0),(IF(F14=0,(0),IF($B$9&gt;=6,((F14*G14)),("Need 6 Generation 1")))))</f>
        <v>0</v>
      </c>
    </row>
    <row r="15" spans="1:10" ht="12">
      <c r="A15" s="7" t="s">
        <v>43</v>
      </c>
      <c r="B15" s="4">
        <v>0</v>
      </c>
      <c r="C15" s="5">
        <f t="shared" si="1"/>
        <v>0</v>
      </c>
      <c r="D15" s="5"/>
      <c r="E15" s="13"/>
      <c r="F15" s="7">
        <f t="shared" si="0"/>
        <v>0</v>
      </c>
      <c r="G15" s="11">
        <v>0.1</v>
      </c>
      <c r="I15" s="11"/>
      <c r="J15" s="32">
        <f>IF(B8&lt;3,(0),IF(F15=0,(0),IF($B$9&gt;=7,((F15*G15)),("Need 7 Generation 1"))))</f>
        <v>0</v>
      </c>
    </row>
    <row r="16" spans="1:10" ht="12">
      <c r="A16" s="7" t="s">
        <v>29</v>
      </c>
      <c r="C16" s="17">
        <f>SUM(C8:C15)</f>
        <v>120</v>
      </c>
      <c r="E16" s="14">
        <f>IF(D6=" ",(SUM(E8:E15)),("Pak Error"))</f>
        <v>6000</v>
      </c>
      <c r="F16" s="60"/>
      <c r="I16" s="11"/>
      <c r="J16" s="21">
        <f>IF(G38&gt;1000001,("Demo Maxed"),(G38))</f>
        <v>5085</v>
      </c>
    </row>
    <row r="17" spans="3:10" ht="12">
      <c r="C17" s="8"/>
      <c r="E17" s="15"/>
      <c r="I17" s="11"/>
      <c r="J17" s="15"/>
    </row>
    <row r="18" spans="1:10" ht="12">
      <c r="A18" s="16" t="s">
        <v>15</v>
      </c>
      <c r="D18"/>
      <c r="E18"/>
      <c r="F18"/>
      <c r="I18" s="18" t="s">
        <v>35</v>
      </c>
      <c r="J18" s="19">
        <f>J16*12</f>
        <v>61020</v>
      </c>
    </row>
    <row r="19" ht="12">
      <c r="A19" s="16" t="s">
        <v>33</v>
      </c>
    </row>
    <row r="20" spans="1:10" ht="12" customHeight="1">
      <c r="A20" s="61" t="s">
        <v>65</v>
      </c>
      <c r="B20" s="61"/>
      <c r="C20" s="61"/>
      <c r="D20" s="61"/>
      <c r="E20" s="61"/>
      <c r="F20" s="61"/>
      <c r="G20" s="61"/>
      <c r="I20" s="62" t="s">
        <v>32</v>
      </c>
      <c r="J20" s="63"/>
    </row>
    <row r="21" spans="1:10" ht="12" customHeight="1">
      <c r="A21" s="61"/>
      <c r="B21" s="61"/>
      <c r="C21" s="61"/>
      <c r="D21" s="61"/>
      <c r="E21" s="61"/>
      <c r="F21" s="61"/>
      <c r="G21" s="61"/>
      <c r="I21" s="64"/>
      <c r="J21" s="65"/>
    </row>
    <row r="22" spans="1:10" ht="12" customHeight="1">
      <c r="A22" s="61"/>
      <c r="B22" s="61"/>
      <c r="C22" s="61"/>
      <c r="D22" s="61"/>
      <c r="E22" s="61"/>
      <c r="F22" s="61"/>
      <c r="G22" s="61"/>
      <c r="I22" s="64"/>
      <c r="J22" s="65"/>
    </row>
    <row r="23" spans="1:10" ht="12">
      <c r="A23" s="61"/>
      <c r="B23" s="61"/>
      <c r="C23" s="61"/>
      <c r="D23" s="61"/>
      <c r="E23" s="61"/>
      <c r="F23" s="61"/>
      <c r="G23" s="61"/>
      <c r="H23" s="22" t="s">
        <v>66</v>
      </c>
      <c r="I23" s="26">
        <v>0.01</v>
      </c>
      <c r="J23" s="27">
        <f>J16/(I23/12)</f>
        <v>6102000</v>
      </c>
    </row>
    <row r="30" ht="12">
      <c r="G30" s="31"/>
    </row>
    <row r="35" ht="12.75" customHeight="1"/>
    <row r="36" ht="12" hidden="1"/>
    <row r="37" ht="12" hidden="1"/>
    <row r="38" spans="2:7" ht="12" hidden="1">
      <c r="B38" s="7">
        <v>399</v>
      </c>
      <c r="C38" s="7">
        <v>950</v>
      </c>
      <c r="D38" s="7">
        <v>1500</v>
      </c>
      <c r="E38" s="7">
        <v>0</v>
      </c>
      <c r="G38" s="12">
        <f>SUM(J8:J15)</f>
        <v>5085</v>
      </c>
    </row>
    <row r="39" spans="2:5" ht="12" hidden="1">
      <c r="B39" s="7">
        <v>125</v>
      </c>
      <c r="C39" s="7">
        <v>250</v>
      </c>
      <c r="D39" s="7">
        <v>350</v>
      </c>
      <c r="E39" s="7">
        <v>0</v>
      </c>
    </row>
    <row r="40" spans="2:5" ht="12" hidden="1">
      <c r="B40" s="7">
        <v>25</v>
      </c>
      <c r="C40" s="7">
        <v>50</v>
      </c>
      <c r="D40" s="7">
        <v>50</v>
      </c>
      <c r="E40" s="7">
        <v>0</v>
      </c>
    </row>
    <row r="41" spans="2:5" ht="12" hidden="1">
      <c r="B41" s="7">
        <v>0</v>
      </c>
      <c r="C41" s="7">
        <v>0</v>
      </c>
      <c r="D41" s="7">
        <v>0</v>
      </c>
      <c r="E41" s="7">
        <v>0</v>
      </c>
    </row>
    <row r="42" spans="2:5" ht="12" hidden="1">
      <c r="B42" s="7">
        <v>0</v>
      </c>
      <c r="C42" s="7">
        <v>0</v>
      </c>
      <c r="D42" s="7">
        <v>0</v>
      </c>
      <c r="E42" s="7">
        <v>0</v>
      </c>
    </row>
    <row r="43" spans="2:5" ht="12" hidden="1">
      <c r="B43" s="7">
        <v>0</v>
      </c>
      <c r="C43" s="7">
        <v>0</v>
      </c>
      <c r="D43" s="7">
        <v>0</v>
      </c>
      <c r="E43" s="7">
        <v>0</v>
      </c>
    </row>
    <row r="44" spans="2:5" ht="12" hidden="1">
      <c r="B44" s="7">
        <v>0</v>
      </c>
      <c r="C44" s="7">
        <v>0</v>
      </c>
      <c r="D44" s="7">
        <v>0</v>
      </c>
      <c r="E44" s="7">
        <v>0</v>
      </c>
    </row>
    <row r="45" ht="12" hidden="1"/>
  </sheetData>
  <sheetProtection password="8566" sheet="1" objects="1" scenarios="1" selectLockedCells="1"/>
  <mergeCells count="2">
    <mergeCell ref="A20:G23"/>
    <mergeCell ref="I20:J22"/>
  </mergeCells>
  <printOptions horizontalCentered="1"/>
  <pageMargins left="0.58" right="0.5" top="0.5" bottom="0.5" header="0.5" footer="0.5"/>
  <pageSetup fitToHeight="1" fitToWidth="1" orientation="landscape"/>
</worksheet>
</file>

<file path=xl/worksheets/sheet3.xml><?xml version="1.0" encoding="utf-8"?>
<worksheet xmlns="http://schemas.openxmlformats.org/spreadsheetml/2006/main" xmlns:r="http://schemas.openxmlformats.org/officeDocument/2006/relationships">
  <sheetPr>
    <pageSetUpPr fitToPage="1"/>
  </sheetPr>
  <dimension ref="A1:J44"/>
  <sheetViews>
    <sheetView zoomScale="200" zoomScaleNormal="200" workbookViewId="0" topLeftCell="A2">
      <selection activeCell="H23" sqref="H23"/>
    </sheetView>
  </sheetViews>
  <sheetFormatPr defaultColWidth="11.421875" defaultRowHeight="12.75"/>
  <cols>
    <col min="1" max="1" width="11.00390625" style="7" customWidth="1"/>
    <col min="2" max="2" width="11.8515625" style="7" customWidth="1"/>
    <col min="3" max="4" width="9.7109375" style="7" customWidth="1"/>
    <col min="5" max="5" width="8.421875" style="7" customWidth="1"/>
    <col min="6" max="6" width="10.00390625" style="7" customWidth="1"/>
    <col min="7" max="8" width="8.00390625" style="7" customWidth="1"/>
    <col min="9" max="9" width="6.421875" style="7" customWidth="1"/>
    <col min="10" max="10" width="13.7109375" style="7" customWidth="1"/>
    <col min="11" max="11" width="4.421875" style="7" customWidth="1"/>
    <col min="12" max="16384" width="10.8515625" style="7" customWidth="1"/>
  </cols>
  <sheetData>
    <row r="1" spans="1:10" ht="12">
      <c r="A1" s="6" t="s">
        <v>36</v>
      </c>
      <c r="H1" s="5" t="s">
        <v>56</v>
      </c>
      <c r="J1" s="5" t="s">
        <v>30</v>
      </c>
    </row>
    <row r="2" spans="4:10" ht="12">
      <c r="D2" s="5" t="s">
        <v>23</v>
      </c>
      <c r="E2" s="5" t="s">
        <v>26</v>
      </c>
      <c r="F2" s="5" t="s">
        <v>14</v>
      </c>
      <c r="G2" s="5" t="s">
        <v>53</v>
      </c>
      <c r="H2" s="5" t="s">
        <v>55</v>
      </c>
      <c r="J2" s="5" t="s">
        <v>44</v>
      </c>
    </row>
    <row r="3" spans="2:10" ht="12">
      <c r="B3" s="5" t="s">
        <v>7</v>
      </c>
      <c r="C3" s="5" t="s">
        <v>10</v>
      </c>
      <c r="D3" s="5" t="s">
        <v>24</v>
      </c>
      <c r="E3" s="5" t="s">
        <v>23</v>
      </c>
      <c r="F3" s="5" t="s">
        <v>17</v>
      </c>
      <c r="G3" s="5" t="s">
        <v>54</v>
      </c>
      <c r="H3" s="4">
        <v>2</v>
      </c>
      <c r="I3" s="5" t="s">
        <v>57</v>
      </c>
      <c r="J3" s="5" t="s">
        <v>45</v>
      </c>
    </row>
    <row r="4" spans="2:10" ht="13.5" customHeight="1">
      <c r="B4" s="5" t="s">
        <v>8</v>
      </c>
      <c r="C4" s="5" t="s">
        <v>11</v>
      </c>
      <c r="D4" s="20" t="str">
        <f>IF(D5=350,("Sampling Pak"),IF(D5=950,("Xec Pak"),IF(D5=1500,("Master Pak"),("Choose Pak"))))</f>
        <v>Master Pak</v>
      </c>
      <c r="E4" s="5" t="s">
        <v>24</v>
      </c>
      <c r="F4" s="5" t="s">
        <v>47</v>
      </c>
      <c r="G4" s="5" t="s">
        <v>52</v>
      </c>
      <c r="H4" s="5" t="s">
        <v>20</v>
      </c>
      <c r="I4" s="5" t="s">
        <v>54</v>
      </c>
      <c r="J4" s="5" t="s">
        <v>13</v>
      </c>
    </row>
    <row r="5" spans="2:10" ht="12">
      <c r="B5" s="5" t="s">
        <v>9</v>
      </c>
      <c r="C5" s="5" t="s">
        <v>12</v>
      </c>
      <c r="D5" s="30">
        <v>1500</v>
      </c>
      <c r="E5" s="5" t="s">
        <v>25</v>
      </c>
      <c r="F5" s="5">
        <v>350</v>
      </c>
      <c r="G5" s="5" t="s">
        <v>21</v>
      </c>
      <c r="H5" s="8">
        <v>50</v>
      </c>
      <c r="I5" s="5" t="s">
        <v>6</v>
      </c>
      <c r="J5" s="5" t="s">
        <v>46</v>
      </c>
    </row>
    <row r="6" spans="2:10" ht="12">
      <c r="B6" s="5"/>
      <c r="C6" s="5"/>
      <c r="D6" s="5" t="str">
        <f>IF(D5=399,(" "),IF(D5=950,(" "),IF(D5=1500,(" "),("Choose 399, 950, or 1500"))))</f>
        <v> </v>
      </c>
      <c r="E6" s="5"/>
      <c r="F6" s="5"/>
      <c r="G6" s="5"/>
      <c r="I6" s="5"/>
      <c r="J6" s="5"/>
    </row>
    <row r="7" spans="2:10" ht="12.75" customHeight="1">
      <c r="B7" s="5" t="s">
        <v>22</v>
      </c>
      <c r="C7" s="5"/>
      <c r="D7" s="5"/>
      <c r="E7" s="5"/>
      <c r="F7" s="29"/>
      <c r="J7" s="10"/>
    </row>
    <row r="8" spans="1:10" ht="12">
      <c r="A8" s="7" t="s">
        <v>0</v>
      </c>
      <c r="B8" s="2">
        <f>'How many will you sponsor'!C8</f>
        <v>12</v>
      </c>
      <c r="C8" s="5">
        <f>B8</f>
        <v>12</v>
      </c>
      <c r="D8" s="5">
        <f>HLOOKUP($D$5,$B$38:$E$44,2,TRUE)</f>
        <v>350</v>
      </c>
      <c r="E8" s="5">
        <f>C8*D8</f>
        <v>4200</v>
      </c>
      <c r="F8" s="7">
        <f aca="true" t="shared" si="0" ref="F8:F15">C8*$F$5</f>
        <v>4200</v>
      </c>
      <c r="G8" s="11">
        <v>0.15</v>
      </c>
      <c r="H8" s="7">
        <f>H3*$H$5</f>
        <v>100</v>
      </c>
      <c r="I8" s="9">
        <v>0.15</v>
      </c>
      <c r="J8" s="32">
        <f>IF($B$8&gt;=3,((F8*G8)+(H8*I8)),("Need at least 3 Personal"))</f>
        <v>645</v>
      </c>
    </row>
    <row r="9" spans="1:10" ht="12">
      <c r="A9" s="7" t="s">
        <v>37</v>
      </c>
      <c r="B9" s="4">
        <f>'How many will you sponsor'!C10</f>
        <v>3</v>
      </c>
      <c r="C9" s="5">
        <f aca="true" t="shared" si="1" ref="C9:C15">C8*B9</f>
        <v>36</v>
      </c>
      <c r="D9" s="5">
        <f>HLOOKUP($D$5,$B$38:$E$44,3,TRUE)</f>
        <v>50</v>
      </c>
      <c r="E9" s="5">
        <f>C9*D9</f>
        <v>1800</v>
      </c>
      <c r="F9" s="7">
        <f t="shared" si="0"/>
        <v>12600</v>
      </c>
      <c r="G9" s="11">
        <v>0.1</v>
      </c>
      <c r="H9" s="7">
        <f>C8*$H$3*$H$5</f>
        <v>1200</v>
      </c>
      <c r="I9" s="11">
        <v>0.1</v>
      </c>
      <c r="J9" s="32">
        <f>IF(B8&lt;3,(0),IF($B$9&gt;=1,((F9*G9)+(H9*I9)),("Need 1 Generation 1")))</f>
        <v>1380</v>
      </c>
    </row>
    <row r="10" spans="1:10" ht="12">
      <c r="A10" s="7" t="s">
        <v>38</v>
      </c>
      <c r="B10" s="4">
        <f>'How many will you sponsor'!$C$12</f>
        <v>1</v>
      </c>
      <c r="C10" s="5">
        <f t="shared" si="1"/>
        <v>36</v>
      </c>
      <c r="D10" s="5"/>
      <c r="E10" s="5"/>
      <c r="F10" s="7">
        <f t="shared" si="0"/>
        <v>12600</v>
      </c>
      <c r="G10" s="11">
        <v>0.1</v>
      </c>
      <c r="H10" s="7">
        <f>C9*$H$3*$H$5</f>
        <v>3600</v>
      </c>
      <c r="I10" s="11">
        <v>0.1</v>
      </c>
      <c r="J10" s="32">
        <f>IF(B8&lt;3,(0),IF(B9=0,(0),IF($B$9&gt;=2,((F10*G10)+(H10*I10)),("Need 2 Generation 1"))))</f>
        <v>1620</v>
      </c>
    </row>
    <row r="11" spans="1:10" ht="12">
      <c r="A11" s="7" t="s">
        <v>39</v>
      </c>
      <c r="B11" s="4">
        <f>'How many will you sponsor'!$C$12</f>
        <v>1</v>
      </c>
      <c r="C11" s="5">
        <f t="shared" si="1"/>
        <v>36</v>
      </c>
      <c r="D11" s="5"/>
      <c r="E11" s="5"/>
      <c r="F11" s="7">
        <f t="shared" si="0"/>
        <v>12600</v>
      </c>
      <c r="G11" s="11">
        <v>0.1</v>
      </c>
      <c r="H11" s="7">
        <f>C10*$H$3*$H$5</f>
        <v>3600</v>
      </c>
      <c r="I11" s="11">
        <v>0.05</v>
      </c>
      <c r="J11" s="32">
        <f>IF(B8&lt;3,(0),IF(B10=0,(0),IF($B$9&gt;=3,((F11*G11)+(H11*I11)),("Need 3 Generation 1"))))</f>
        <v>1440</v>
      </c>
    </row>
    <row r="12" spans="1:10" ht="12">
      <c r="A12" s="7" t="s">
        <v>40</v>
      </c>
      <c r="B12" s="4">
        <f>'How many will you sponsor'!$C$12</f>
        <v>1</v>
      </c>
      <c r="C12" s="5">
        <f t="shared" si="1"/>
        <v>36</v>
      </c>
      <c r="D12" s="5"/>
      <c r="E12" s="5"/>
      <c r="F12" s="7">
        <f t="shared" si="0"/>
        <v>12600</v>
      </c>
      <c r="G12" s="11">
        <v>0.1</v>
      </c>
      <c r="H12" s="7">
        <f>C11*$H$3*$H$5</f>
        <v>3600</v>
      </c>
      <c r="I12" s="11">
        <v>0.05</v>
      </c>
      <c r="J12" s="32" t="str">
        <f>IF(B8&lt;3,(0),IF(B11=0,(0),IF($B$9&gt;=4,((F12*G12)+(H12*I12)),("Need 4 Generation 1"))))</f>
        <v>Need 4 Generation 1</v>
      </c>
    </row>
    <row r="13" spans="1:10" ht="12">
      <c r="A13" s="7" t="s">
        <v>41</v>
      </c>
      <c r="B13" s="4">
        <f>'How many will you sponsor'!$C$12</f>
        <v>1</v>
      </c>
      <c r="C13" s="5">
        <f t="shared" si="1"/>
        <v>36</v>
      </c>
      <c r="D13" s="5"/>
      <c r="E13" s="13"/>
      <c r="F13" s="7">
        <f t="shared" si="0"/>
        <v>12600</v>
      </c>
      <c r="G13" s="11">
        <v>0.1</v>
      </c>
      <c r="H13" s="7">
        <f>C12*$H$3*$H$5</f>
        <v>3600</v>
      </c>
      <c r="I13" s="11">
        <v>0.05</v>
      </c>
      <c r="J13" s="32" t="str">
        <f>IF(B8&lt;3,(0),IF(B12=0,(0),IF($B$9&gt;=5,((F13*G13)+(H13*I13)),("Need 5 Generation 1"))))</f>
        <v>Need 5 Generation 1</v>
      </c>
    </row>
    <row r="14" spans="1:10" ht="12">
      <c r="A14" s="7" t="s">
        <v>42</v>
      </c>
      <c r="B14" s="4">
        <f>'How many will you sponsor'!$C$12</f>
        <v>1</v>
      </c>
      <c r="C14" s="5">
        <f t="shared" si="1"/>
        <v>36</v>
      </c>
      <c r="D14" s="5"/>
      <c r="E14" s="13"/>
      <c r="F14" s="7">
        <f t="shared" si="0"/>
        <v>12600</v>
      </c>
      <c r="G14" s="11">
        <v>0.1</v>
      </c>
      <c r="I14" s="11"/>
      <c r="J14" s="32" t="str">
        <f>IF(B8&lt;3,(0),(IF(F14=0,(0),IF($B$9&gt;=6,((F14*G14)),("Need 6 Generation 1")))))</f>
        <v>Need 6 Generation 1</v>
      </c>
    </row>
    <row r="15" spans="1:10" ht="12">
      <c r="A15" s="7" t="s">
        <v>43</v>
      </c>
      <c r="B15" s="4">
        <f>'How many will you sponsor'!$C$12</f>
        <v>1</v>
      </c>
      <c r="C15" s="5">
        <f t="shared" si="1"/>
        <v>36</v>
      </c>
      <c r="D15" s="5"/>
      <c r="E15" s="13"/>
      <c r="F15" s="7">
        <f t="shared" si="0"/>
        <v>12600</v>
      </c>
      <c r="G15" s="11">
        <v>0.1</v>
      </c>
      <c r="I15" s="11"/>
      <c r="J15" s="32" t="str">
        <f>IF(B8&lt;3,(0),IF(F15=0,(0),IF($B$9&gt;=7,((F15*G15)),("Need 7 Generation 1"))))</f>
        <v>Need 7 Generation 1</v>
      </c>
    </row>
    <row r="16" spans="1:10" ht="12">
      <c r="A16" s="7" t="s">
        <v>29</v>
      </c>
      <c r="C16" s="17">
        <f>SUM(C8:C15)</f>
        <v>264</v>
      </c>
      <c r="E16" s="14">
        <f>IF(D6=" ",(SUM(E8:E15)),("Pak Error"))</f>
        <v>6000</v>
      </c>
      <c r="I16" s="11"/>
      <c r="J16" s="21">
        <f>IF(G38&gt;1000001,("Demo Maxed"),(G38))</f>
        <v>5085</v>
      </c>
    </row>
    <row r="17" spans="3:10" ht="12">
      <c r="C17" s="8"/>
      <c r="E17" s="15"/>
      <c r="I17" s="11"/>
      <c r="J17" s="15"/>
    </row>
    <row r="18" spans="1:10" ht="12">
      <c r="A18" s="16" t="s">
        <v>15</v>
      </c>
      <c r="D18"/>
      <c r="E18"/>
      <c r="F18"/>
      <c r="I18" s="18" t="s">
        <v>35</v>
      </c>
      <c r="J18" s="19">
        <f>J16*12</f>
        <v>61020</v>
      </c>
    </row>
    <row r="19" ht="12">
      <c r="A19" s="16" t="s">
        <v>33</v>
      </c>
    </row>
    <row r="20" spans="1:10" ht="12" customHeight="1">
      <c r="A20" s="61" t="s">
        <v>58</v>
      </c>
      <c r="B20" s="61"/>
      <c r="C20" s="61"/>
      <c r="D20" s="61"/>
      <c r="E20" s="61"/>
      <c r="F20" s="61"/>
      <c r="G20" s="61"/>
      <c r="I20" s="62" t="s">
        <v>32</v>
      </c>
      <c r="J20" s="63"/>
    </row>
    <row r="21" spans="1:10" ht="12" customHeight="1">
      <c r="A21" s="61"/>
      <c r="B21" s="61"/>
      <c r="C21" s="61"/>
      <c r="D21" s="61"/>
      <c r="E21" s="61"/>
      <c r="F21" s="61"/>
      <c r="G21" s="61"/>
      <c r="I21" s="64"/>
      <c r="J21" s="65"/>
    </row>
    <row r="22" spans="1:10" ht="12" customHeight="1">
      <c r="A22" s="61"/>
      <c r="B22" s="61"/>
      <c r="C22" s="61"/>
      <c r="D22" s="61"/>
      <c r="E22" s="61"/>
      <c r="F22" s="61"/>
      <c r="G22" s="61"/>
      <c r="I22" s="64"/>
      <c r="J22" s="65"/>
    </row>
    <row r="23" spans="1:10" ht="12">
      <c r="A23" s="61"/>
      <c r="B23" s="61"/>
      <c r="C23" s="61"/>
      <c r="D23" s="61"/>
      <c r="E23" s="61"/>
      <c r="F23" s="61"/>
      <c r="G23" s="61"/>
      <c r="H23" s="22" t="s">
        <v>66</v>
      </c>
      <c r="I23" s="26">
        <f>'How many will you sponsor'!C18</f>
        <v>0.01</v>
      </c>
      <c r="J23" s="27">
        <f>J16/(I23/12)</f>
        <v>6102000</v>
      </c>
    </row>
    <row r="30" ht="12">
      <c r="G30" s="31"/>
    </row>
    <row r="35" ht="12.75" customHeight="1"/>
    <row r="36" ht="12" hidden="1"/>
    <row r="37" ht="12" hidden="1"/>
    <row r="38" spans="2:7" ht="12" hidden="1">
      <c r="B38" s="7">
        <v>399</v>
      </c>
      <c r="C38" s="7">
        <v>950</v>
      </c>
      <c r="D38" s="7">
        <v>1500</v>
      </c>
      <c r="E38" s="7">
        <v>0</v>
      </c>
      <c r="G38" s="12">
        <f>SUM(J8:J15)</f>
        <v>5085</v>
      </c>
    </row>
    <row r="39" spans="2:5" ht="12" hidden="1">
      <c r="B39" s="7">
        <v>125</v>
      </c>
      <c r="C39" s="7">
        <v>250</v>
      </c>
      <c r="D39" s="7">
        <v>350</v>
      </c>
      <c r="E39" s="7">
        <v>0</v>
      </c>
    </row>
    <row r="40" spans="2:5" ht="12" hidden="1">
      <c r="B40" s="7">
        <v>25</v>
      </c>
      <c r="C40" s="7">
        <v>50</v>
      </c>
      <c r="D40" s="7">
        <v>50</v>
      </c>
      <c r="E40" s="7">
        <v>0</v>
      </c>
    </row>
    <row r="41" spans="2:5" ht="12" hidden="1">
      <c r="B41" s="7">
        <v>0</v>
      </c>
      <c r="C41" s="7">
        <v>0</v>
      </c>
      <c r="D41" s="7">
        <v>0</v>
      </c>
      <c r="E41" s="7">
        <v>0</v>
      </c>
    </row>
    <row r="42" spans="2:5" ht="12" hidden="1">
      <c r="B42" s="7">
        <v>0</v>
      </c>
      <c r="C42" s="7">
        <v>0</v>
      </c>
      <c r="D42" s="7">
        <v>0</v>
      </c>
      <c r="E42" s="7">
        <v>0</v>
      </c>
    </row>
    <row r="43" spans="2:5" ht="12" hidden="1">
      <c r="B43" s="7">
        <v>0</v>
      </c>
      <c r="C43" s="7">
        <v>0</v>
      </c>
      <c r="D43" s="7">
        <v>0</v>
      </c>
      <c r="E43" s="7">
        <v>0</v>
      </c>
    </row>
    <row r="44" spans="2:5" ht="12" hidden="1">
      <c r="B44" s="7">
        <v>0</v>
      </c>
      <c r="C44" s="7">
        <v>0</v>
      </c>
      <c r="D44" s="7">
        <v>0</v>
      </c>
      <c r="E44" s="7">
        <v>0</v>
      </c>
    </row>
    <row r="45" ht="12" hidden="1"/>
  </sheetData>
  <sheetProtection password="8566" sheet="1" objects="1" scenarios="1" selectLockedCells="1" selectUnlockedCells="1"/>
  <mergeCells count="2">
    <mergeCell ref="A20:G23"/>
    <mergeCell ref="I20:J22"/>
  </mergeCells>
  <printOptions horizontalCentered="1"/>
  <pageMargins left="0.58" right="0.5" top="0.5" bottom="0.5" header="0.5" footer="0.5"/>
  <pageSetup fitToHeight="1" fitToWidth="1" orientation="landscape"/>
</worksheet>
</file>

<file path=xl/worksheets/sheet4.xml><?xml version="1.0" encoding="utf-8"?>
<worksheet xmlns="http://schemas.openxmlformats.org/spreadsheetml/2006/main" xmlns:r="http://schemas.openxmlformats.org/officeDocument/2006/relationships">
  <dimension ref="A1:G23"/>
  <sheetViews>
    <sheetView zoomScale="135" zoomScaleNormal="135" workbookViewId="0" topLeftCell="A1">
      <selection activeCell="C6" sqref="C6"/>
    </sheetView>
  </sheetViews>
  <sheetFormatPr defaultColWidth="11.421875" defaultRowHeight="12.75"/>
  <cols>
    <col min="1" max="1" width="10.8515625" style="7" customWidth="1"/>
    <col min="2" max="2" width="52.421875" style="43" customWidth="1"/>
    <col min="3" max="16384" width="10.8515625" style="7" customWidth="1"/>
  </cols>
  <sheetData>
    <row r="1" spans="1:7" ht="15">
      <c r="A1" s="35"/>
      <c r="B1" s="36"/>
      <c r="C1" s="35"/>
      <c r="D1" s="35"/>
      <c r="E1" s="35"/>
      <c r="F1" s="35"/>
      <c r="G1" s="35"/>
    </row>
    <row r="2" spans="1:7" ht="15">
      <c r="A2" s="35"/>
      <c r="B2" s="36"/>
      <c r="C2" s="35"/>
      <c r="D2" s="35"/>
      <c r="E2" s="35"/>
      <c r="F2" s="35"/>
      <c r="G2" s="35"/>
    </row>
    <row r="3" spans="1:7" ht="15">
      <c r="A3" s="35"/>
      <c r="B3" s="36"/>
      <c r="C3" s="35"/>
      <c r="D3" s="35"/>
      <c r="E3" s="35"/>
      <c r="F3" s="35"/>
      <c r="G3" s="35"/>
    </row>
    <row r="4" spans="1:7" ht="15">
      <c r="A4" s="35"/>
      <c r="B4" s="36"/>
      <c r="C4" s="35"/>
      <c r="D4" s="35"/>
      <c r="E4" s="35"/>
      <c r="F4" s="35"/>
      <c r="G4" s="35"/>
    </row>
    <row r="5" spans="1:7" ht="15.75" thickBot="1">
      <c r="A5" s="37"/>
      <c r="B5" s="38"/>
      <c r="C5" s="37"/>
      <c r="D5" s="37"/>
      <c r="E5" s="37"/>
      <c r="F5" s="37"/>
      <c r="G5" s="37"/>
    </row>
    <row r="6" spans="1:7" ht="46.5" thickBot="1" thickTop="1">
      <c r="A6" s="37"/>
      <c r="B6" s="39" t="s">
        <v>62</v>
      </c>
      <c r="C6" s="34">
        <v>12</v>
      </c>
      <c r="D6" s="72" t="str">
        <f>IF(C6&lt;2,"ERROR must be at least 2","With 12 customers your first year, earn potential $2,000 bonus!")</f>
        <v>With 12 customers your first year, earn potential $2,000 bonus!</v>
      </c>
      <c r="E6" s="73"/>
      <c r="F6" s="73"/>
      <c r="G6" s="37"/>
    </row>
    <row r="7" spans="1:7" ht="16.5" thickBot="1" thickTop="1">
      <c r="A7" s="37"/>
      <c r="B7" s="38"/>
      <c r="C7" s="37"/>
      <c r="D7" s="37"/>
      <c r="E7" s="37"/>
      <c r="F7" s="37"/>
      <c r="G7" s="37"/>
    </row>
    <row r="8" spans="1:7" ht="45" customHeight="1" thickBot="1" thickTop="1">
      <c r="A8" s="37"/>
      <c r="B8" s="40" t="s">
        <v>59</v>
      </c>
      <c r="C8" s="44">
        <v>12</v>
      </c>
      <c r="D8" s="75" t="str">
        <f>IF(C8&lt;3,"ERROR: need at least 3 Xecs to use demonstrator"," ")</f>
        <v> </v>
      </c>
      <c r="E8" s="76"/>
      <c r="F8" s="76"/>
      <c r="G8" s="37"/>
    </row>
    <row r="9" spans="1:7" ht="16.5" thickBot="1" thickTop="1">
      <c r="A9" s="37"/>
      <c r="B9" s="38"/>
      <c r="C9" s="37"/>
      <c r="D9" s="37"/>
      <c r="E9" s="37"/>
      <c r="F9" s="37"/>
      <c r="G9" s="37"/>
    </row>
    <row r="10" spans="1:7" ht="45" customHeight="1" thickBot="1" thickTop="1">
      <c r="A10" s="37"/>
      <c r="B10" s="40" t="s">
        <v>60</v>
      </c>
      <c r="C10" s="44">
        <v>3</v>
      </c>
      <c r="D10" s="72" t="str">
        <f>IF(C10&gt;6,"You would be a PRESIDENTIAL DIRECTOR eligible for 7 generations in bonus pools",IF(C10&gt;5,"You would be a VICE PRES. DIRECTOR eligible for 6 generations in bonus pools",IF(C10&gt;4,"You would be a NATIONAL DIRECTOR eligible for 5 generations in bonus pools",IF(C10&gt;3,"You would be a REGIONAL DIRECTOR eligible for 4 generations in bonus pools",IF(C10&gt;2,"You would be a DIRECTOR eligible for 3 generations in bonus pools",IF(C10&gt;1,"You would be a SENIOR MANAGER eligible for 2 generations in bonus pools",IF(C10&gt;0,"You would be a MANAGER eligible for 1 generation in bonus pools"," ")))))))</f>
        <v>You would be a DIRECTOR eligible for 3 generations in bonus pools</v>
      </c>
      <c r="E10" s="73"/>
      <c r="F10" s="73"/>
      <c r="G10" s="37"/>
    </row>
    <row r="11" spans="1:7" ht="16.5" thickBot="1" thickTop="1">
      <c r="A11" s="37"/>
      <c r="B11" s="38"/>
      <c r="C11" s="37"/>
      <c r="D11" s="37"/>
      <c r="E11" s="37"/>
      <c r="F11" s="37"/>
      <c r="G11" s="37"/>
    </row>
    <row r="12" spans="1:7" ht="45" customHeight="1" thickBot="1" thickTop="1">
      <c r="A12" s="37"/>
      <c r="B12" s="40" t="s">
        <v>61</v>
      </c>
      <c r="C12" s="44">
        <v>1</v>
      </c>
      <c r="D12" s="72" t="str">
        <f>IF(C10&gt;6,"Assuming same duplication on generations 2-7",IF(C10&gt;5,"Assuming same duplication on generations 2-6",IF(C10&gt;4,"Assuming same duplication on generations 2-5",IF(C10&gt;3,"Assuming same duplication on generations 2-4",IF(C10&gt;2,"Assuming same duplication on generations 2 and 3",IF(C10&gt;1,"Duplication on generation 2","Not eligible for these levels yet"))))))</f>
        <v>Assuming same duplication on generations 2 and 3</v>
      </c>
      <c r="E12" s="73"/>
      <c r="F12" s="73"/>
      <c r="G12" s="37"/>
    </row>
    <row r="13" spans="1:7" ht="6.75" customHeight="1" thickTop="1">
      <c r="A13" s="37"/>
      <c r="B13" s="38"/>
      <c r="C13" s="37"/>
      <c r="D13" s="37"/>
      <c r="E13" s="37"/>
      <c r="F13" s="37"/>
      <c r="G13" s="37"/>
    </row>
    <row r="14" spans="1:7" ht="6.75" customHeight="1" thickBot="1">
      <c r="A14" s="37"/>
      <c r="B14" s="38"/>
      <c r="C14" s="37"/>
      <c r="D14" s="37"/>
      <c r="E14" s="37"/>
      <c r="F14" s="37"/>
      <c r="G14" s="37"/>
    </row>
    <row r="15" spans="1:7" ht="33.75" customHeight="1" thickBot="1" thickTop="1">
      <c r="A15" s="41" t="s">
        <v>64</v>
      </c>
      <c r="B15" s="38"/>
      <c r="C15" s="37"/>
      <c r="D15" s="37"/>
      <c r="E15" s="69">
        <f>HMsupport!J16</f>
        <v>5085</v>
      </c>
      <c r="F15" s="70"/>
      <c r="G15" s="37"/>
    </row>
    <row r="16" spans="1:7" ht="15.75" thickTop="1">
      <c r="A16" s="37"/>
      <c r="B16" s="38"/>
      <c r="C16" s="37"/>
      <c r="D16" s="37"/>
      <c r="E16" s="77" t="s">
        <v>68</v>
      </c>
      <c r="F16" s="77"/>
      <c r="G16" s="37"/>
    </row>
    <row r="17" spans="1:7" ht="15.75" customHeight="1" thickBot="1">
      <c r="A17" s="37"/>
      <c r="B17" s="74" t="s">
        <v>63</v>
      </c>
      <c r="C17" s="37"/>
      <c r="D17" s="37"/>
      <c r="E17" s="37"/>
      <c r="F17" s="37"/>
      <c r="G17" s="37"/>
    </row>
    <row r="18" spans="1:7" ht="18" thickBot="1">
      <c r="A18" s="37"/>
      <c r="B18" s="74"/>
      <c r="C18" s="45">
        <v>0.01</v>
      </c>
      <c r="D18" s="71">
        <f>HMsupport!J23</f>
        <v>6102000</v>
      </c>
      <c r="E18" s="71"/>
      <c r="F18" s="37"/>
      <c r="G18" s="37"/>
    </row>
    <row r="19" spans="1:7" ht="15" customHeight="1">
      <c r="A19" s="37"/>
      <c r="B19" s="74"/>
      <c r="C19" s="37"/>
      <c r="D19" s="37"/>
      <c r="E19" s="37"/>
      <c r="F19" s="37"/>
      <c r="G19" s="37"/>
    </row>
    <row r="20" spans="1:7" ht="6.75" customHeight="1" thickBot="1">
      <c r="A20" s="37"/>
      <c r="B20" s="38"/>
      <c r="C20" s="37"/>
      <c r="D20" s="37"/>
      <c r="E20" s="37"/>
      <c r="F20" s="37"/>
      <c r="G20" s="37"/>
    </row>
    <row r="21" spans="1:7" ht="48.75" customHeight="1" thickBot="1">
      <c r="A21" s="42"/>
      <c r="B21" s="66" t="s">
        <v>67</v>
      </c>
      <c r="C21" s="67"/>
      <c r="D21" s="67"/>
      <c r="E21" s="67"/>
      <c r="F21" s="68"/>
      <c r="G21" s="37"/>
    </row>
    <row r="22" spans="1:7" ht="6.75" customHeight="1">
      <c r="A22" s="37"/>
      <c r="B22" s="38"/>
      <c r="C22" s="37"/>
      <c r="D22" s="37"/>
      <c r="E22" s="37"/>
      <c r="F22" s="37"/>
      <c r="G22" s="37"/>
    </row>
    <row r="23" spans="1:7" ht="15">
      <c r="A23" s="37"/>
      <c r="B23" s="38"/>
      <c r="C23" s="37"/>
      <c r="D23" s="37"/>
      <c r="E23" s="37"/>
      <c r="F23" s="37"/>
      <c r="G23" s="33" t="s">
        <v>66</v>
      </c>
    </row>
  </sheetData>
  <sheetProtection password="8566" sheet="1" objects="1" scenarios="1" selectLockedCells="1"/>
  <mergeCells count="9">
    <mergeCell ref="B21:F21"/>
    <mergeCell ref="E15:F15"/>
    <mergeCell ref="D18:E18"/>
    <mergeCell ref="D10:F10"/>
    <mergeCell ref="B17:B19"/>
    <mergeCell ref="D6:F6"/>
    <mergeCell ref="D8:F8"/>
    <mergeCell ref="D12:F12"/>
    <mergeCell ref="E16:F16"/>
  </mergeCells>
  <printOptions/>
  <pageMargins left="0.75" right="0.75" top="1" bottom="1" header="0.5" footer="0.5"/>
  <pageSetup orientation="landscape"/>
  <drawing r:id="rId1"/>
</worksheet>
</file>

<file path=xl/worksheets/sheet5.xml><?xml version="1.0" encoding="utf-8"?>
<worksheet xmlns="http://schemas.openxmlformats.org/spreadsheetml/2006/main" xmlns:r="http://schemas.openxmlformats.org/officeDocument/2006/relationships">
  <dimension ref="A1:G19"/>
  <sheetViews>
    <sheetView zoomScale="150" zoomScaleNormal="150" workbookViewId="0" topLeftCell="A1">
      <selection activeCell="C6" sqref="C6"/>
    </sheetView>
  </sheetViews>
  <sheetFormatPr defaultColWidth="11.421875" defaultRowHeight="12.75"/>
  <cols>
    <col min="1" max="1" width="10.421875" style="47" customWidth="1"/>
    <col min="2" max="2" width="38.7109375" style="47" customWidth="1"/>
    <col min="3" max="4" width="10.8515625" style="47" customWidth="1"/>
    <col min="5" max="16384" width="10.8515625" style="47" customWidth="1"/>
  </cols>
  <sheetData>
    <row r="1" spans="1:7" ht="15.75">
      <c r="A1" s="46"/>
      <c r="B1" s="46"/>
      <c r="C1" s="46"/>
      <c r="D1" s="46"/>
      <c r="E1" s="46"/>
      <c r="F1" s="46"/>
      <c r="G1" s="46"/>
    </row>
    <row r="2" spans="1:7" ht="15.75">
      <c r="A2" s="46"/>
      <c r="B2" s="46"/>
      <c r="C2" s="46"/>
      <c r="D2" s="46"/>
      <c r="E2" s="46"/>
      <c r="F2" s="46"/>
      <c r="G2" s="46"/>
    </row>
    <row r="3" spans="1:7" ht="15.75">
      <c r="A3" s="46"/>
      <c r="B3" s="46"/>
      <c r="C3" s="46"/>
      <c r="D3" s="46"/>
      <c r="E3" s="46"/>
      <c r="F3" s="46"/>
      <c r="G3" s="46"/>
    </row>
    <row r="4" spans="1:7" ht="15.75">
      <c r="A4" s="46"/>
      <c r="B4" s="46"/>
      <c r="C4" s="46"/>
      <c r="D4" s="46"/>
      <c r="E4" s="46"/>
      <c r="F4" s="46"/>
      <c r="G4" s="46"/>
    </row>
    <row r="5" spans="1:7" ht="15">
      <c r="A5" s="48"/>
      <c r="B5" s="48"/>
      <c r="C5" s="48"/>
      <c r="D5" s="48"/>
      <c r="E5" s="48"/>
      <c r="F5" s="48"/>
      <c r="G5" s="48"/>
    </row>
    <row r="6" spans="1:7" ht="45" customHeight="1">
      <c r="A6" s="48"/>
      <c r="B6" s="49" t="s">
        <v>102</v>
      </c>
      <c r="C6" s="50">
        <v>175</v>
      </c>
      <c r="D6" s="81" t="str">
        <f>IF(C6&lt;50," ERROR must be at least 50 PSV to earn more than Retail Bonus"," ")</f>
        <v> </v>
      </c>
      <c r="E6" s="82"/>
      <c r="F6" s="82"/>
      <c r="G6" s="48"/>
    </row>
    <row r="7" spans="1:7" ht="15">
      <c r="A7" s="48"/>
      <c r="B7" s="48"/>
      <c r="C7" s="48"/>
      <c r="D7" s="48"/>
      <c r="E7" s="48"/>
      <c r="F7" s="48"/>
      <c r="G7" s="48"/>
    </row>
    <row r="8" spans="1:7" ht="45" customHeight="1">
      <c r="A8" s="48"/>
      <c r="B8" s="49" t="s">
        <v>103</v>
      </c>
      <c r="C8" s="50">
        <v>125</v>
      </c>
      <c r="D8" s="83" t="str">
        <f>IF(C8&lt;51,"ERROR: your average must be greater than 50 in order to achieve Xecutive Status"," ")</f>
        <v> </v>
      </c>
      <c r="E8" s="84"/>
      <c r="F8" s="84"/>
      <c r="G8" s="48"/>
    </row>
    <row r="9" spans="1:7" ht="12.75" customHeight="1">
      <c r="A9" s="48"/>
      <c r="B9" s="49"/>
      <c r="C9" s="51"/>
      <c r="D9" s="48"/>
      <c r="E9" s="48"/>
      <c r="F9" s="48"/>
      <c r="G9" s="48"/>
    </row>
    <row r="10" spans="1:7" ht="36.75" customHeight="1">
      <c r="A10" s="48"/>
      <c r="B10" s="49" t="s">
        <v>100</v>
      </c>
      <c r="C10" s="52">
        <f>ROUNDUP((300-HMCsupport!D5)/HMCsupport!D6,0)</f>
        <v>3</v>
      </c>
      <c r="D10" s="85"/>
      <c r="E10" s="85"/>
      <c r="F10" s="85"/>
      <c r="G10" s="48"/>
    </row>
    <row r="11" spans="1:7" ht="15">
      <c r="A11" s="48"/>
      <c r="B11" s="48"/>
      <c r="C11" s="48"/>
      <c r="D11" s="48"/>
      <c r="E11" s="48"/>
      <c r="F11" s="48"/>
      <c r="G11" s="48"/>
    </row>
    <row r="12" spans="1:7" ht="45" customHeight="1">
      <c r="A12" s="48"/>
      <c r="B12" s="49" t="s">
        <v>69</v>
      </c>
      <c r="C12" s="50">
        <v>15</v>
      </c>
      <c r="D12" s="86" t="str">
        <f>IF(C12&lt;C10,"If you gather the required customers above, you make more bonuses as an Xecutive","Congratulations! You are an Xec")</f>
        <v>Congratulations! You are an Xec</v>
      </c>
      <c r="E12" s="87"/>
      <c r="F12" s="87"/>
      <c r="G12" s="48"/>
    </row>
    <row r="13" spans="1:7" ht="15">
      <c r="A13" s="48"/>
      <c r="B13" s="91" t="s">
        <v>101</v>
      </c>
      <c r="C13" s="92">
        <f>HMCsupport!B8</f>
        <v>2050</v>
      </c>
      <c r="D13" s="53" t="str">
        <f>IF(C12&gt;11,"12 customers 1st yr. = potential $2,000 bonus*"," ")</f>
        <v>12 customers 1st yr. = potential $2,000 bonus*</v>
      </c>
      <c r="E13" s="54"/>
      <c r="F13" s="48"/>
      <c r="G13" s="48"/>
    </row>
    <row r="14" spans="1:7" ht="45.75" customHeight="1" hidden="1">
      <c r="A14" s="48"/>
      <c r="B14" s="49" t="s">
        <v>70</v>
      </c>
      <c r="C14" s="55">
        <v>0</v>
      </c>
      <c r="D14" s="88" t="str">
        <f>IF(C12&lt;C10,"Become an Xec in order to earn on your personally enrolled Xec's",IF(C14&gt;2,"You are at least an X3 and are eligible for extra bonuses","If you enroll at least 3 Xec's, you will earn extra bonuses"))</f>
        <v>If you enroll at least 3 Xec's, you will earn extra bonuses</v>
      </c>
      <c r="E14" s="88"/>
      <c r="F14" s="88"/>
      <c r="G14" s="48"/>
    </row>
    <row r="15" spans="1:7" ht="9" customHeight="1">
      <c r="A15" s="48"/>
      <c r="B15" s="48"/>
      <c r="C15" s="48"/>
      <c r="D15" s="48"/>
      <c r="E15" s="48"/>
      <c r="F15" s="48"/>
      <c r="G15" s="48"/>
    </row>
    <row r="16" spans="1:7" ht="27" customHeight="1">
      <c r="A16" s="56" t="s">
        <v>71</v>
      </c>
      <c r="B16" s="48"/>
      <c r="C16" s="48"/>
      <c r="D16" s="48"/>
      <c r="E16" s="89">
        <f>HMCsupport!B40</f>
        <v>310</v>
      </c>
      <c r="F16" s="90"/>
      <c r="G16" s="48"/>
    </row>
    <row r="17" spans="1:7" ht="15.75" thickBot="1">
      <c r="A17" s="48"/>
      <c r="B17" s="48"/>
      <c r="C17" s="48"/>
      <c r="D17" s="48"/>
      <c r="E17" s="48"/>
      <c r="F17" s="48"/>
      <c r="G17" s="48"/>
    </row>
    <row r="18" spans="1:7" ht="66" customHeight="1" thickBot="1">
      <c r="A18" s="48"/>
      <c r="B18" s="78" t="s">
        <v>72</v>
      </c>
      <c r="C18" s="79"/>
      <c r="D18" s="79"/>
      <c r="E18" s="79"/>
      <c r="F18" s="80"/>
      <c r="G18" s="48"/>
    </row>
    <row r="19" spans="1:7" ht="15">
      <c r="A19" s="48"/>
      <c r="B19" s="48"/>
      <c r="C19" s="48"/>
      <c r="D19" s="48"/>
      <c r="E19" s="48"/>
      <c r="F19" s="48"/>
      <c r="G19" s="57" t="s">
        <v>73</v>
      </c>
    </row>
  </sheetData>
  <sheetProtection password="8566" sheet="1" objects="1" scenarios="1" selectLockedCells="1"/>
  <mergeCells count="7">
    <mergeCell ref="B18:F18"/>
    <mergeCell ref="D6:F6"/>
    <mergeCell ref="D8:F8"/>
    <mergeCell ref="D10:F10"/>
    <mergeCell ref="D12:F12"/>
    <mergeCell ref="D14:F14"/>
    <mergeCell ref="E16:F16"/>
  </mergeCells>
  <printOptions/>
  <pageMargins left="0.75" right="0.75" top="1" bottom="1" header="0.5" footer="0.5"/>
  <pageSetup orientation="landscape"/>
  <drawing r:id="rId1"/>
</worksheet>
</file>

<file path=xl/worksheets/sheet6.xml><?xml version="1.0" encoding="utf-8"?>
<worksheet xmlns="http://schemas.openxmlformats.org/spreadsheetml/2006/main" xmlns:r="http://schemas.openxmlformats.org/officeDocument/2006/relationships">
  <dimension ref="A1:L42"/>
  <sheetViews>
    <sheetView workbookViewId="0" topLeftCell="A1">
      <selection activeCell="B8" sqref="B8"/>
    </sheetView>
  </sheetViews>
  <sheetFormatPr defaultColWidth="11.421875" defaultRowHeight="12.75"/>
  <cols>
    <col min="1" max="1" width="27.421875" style="47" customWidth="1"/>
    <col min="2" max="16384" width="10.8515625" style="47" customWidth="1"/>
  </cols>
  <sheetData>
    <row r="1" spans="1:12" ht="15">
      <c r="A1" s="58"/>
      <c r="B1" s="58"/>
      <c r="C1" s="58"/>
      <c r="D1" s="58"/>
      <c r="E1" s="58"/>
      <c r="F1" s="58"/>
      <c r="G1" s="58"/>
      <c r="H1" s="58"/>
      <c r="I1" s="58"/>
      <c r="J1" s="58"/>
      <c r="K1" s="58"/>
      <c r="L1" s="58"/>
    </row>
    <row r="2" spans="1:12" ht="15">
      <c r="A2" s="58"/>
      <c r="B2" s="58"/>
      <c r="C2" s="58"/>
      <c r="D2" s="58"/>
      <c r="E2" s="58"/>
      <c r="F2" s="58"/>
      <c r="G2" s="58"/>
      <c r="H2" s="58"/>
      <c r="I2" s="58"/>
      <c r="J2" s="58"/>
      <c r="K2" s="58"/>
      <c r="L2" s="58"/>
    </row>
    <row r="3" spans="1:12" ht="15">
      <c r="A3" s="58"/>
      <c r="B3" s="58"/>
      <c r="C3" s="58"/>
      <c r="D3" s="58"/>
      <c r="E3" s="58"/>
      <c r="F3" s="58"/>
      <c r="G3" s="58"/>
      <c r="H3" s="58"/>
      <c r="I3" s="58"/>
      <c r="J3" s="58"/>
      <c r="K3" s="58"/>
      <c r="L3" s="58"/>
    </row>
    <row r="4" spans="1:12" ht="15">
      <c r="A4" s="58"/>
      <c r="B4" s="58"/>
      <c r="C4" s="58"/>
      <c r="D4" s="58"/>
      <c r="E4" s="58"/>
      <c r="F4" s="58"/>
      <c r="G4" s="58"/>
      <c r="H4" s="58"/>
      <c r="I4" s="58"/>
      <c r="J4" s="58"/>
      <c r="K4" s="58"/>
      <c r="L4" s="58"/>
    </row>
    <row r="5" spans="1:12" ht="15">
      <c r="A5" s="58" t="s">
        <v>74</v>
      </c>
      <c r="B5" s="58">
        <f>'How many Customers'!C6</f>
        <v>175</v>
      </c>
      <c r="C5" s="58">
        <f>IF(B5&gt;49,50,B5)</f>
        <v>50</v>
      </c>
      <c r="D5" s="58">
        <f>IF(B5&gt;49,B5-50,0)</f>
        <v>125</v>
      </c>
      <c r="E5" s="58"/>
      <c r="F5" s="58"/>
      <c r="G5" s="58"/>
      <c r="H5" s="58"/>
      <c r="I5" s="58"/>
      <c r="J5" s="58"/>
      <c r="K5" s="58"/>
      <c r="L5" s="58"/>
    </row>
    <row r="6" spans="1:12" ht="15">
      <c r="A6" s="58" t="s">
        <v>75</v>
      </c>
      <c r="B6" s="58">
        <f>'How many Customers'!C8</f>
        <v>125</v>
      </c>
      <c r="C6" s="58">
        <f>IF(B6&gt;49,50,B6)</f>
        <v>50</v>
      </c>
      <c r="D6" s="58">
        <f>IF(B6&gt;49,B6-50,0)</f>
        <v>75</v>
      </c>
      <c r="E6" s="58"/>
      <c r="F6" s="58"/>
      <c r="G6" s="58"/>
      <c r="H6" s="58"/>
      <c r="I6" s="58"/>
      <c r="J6" s="58"/>
      <c r="K6" s="58"/>
      <c r="L6" s="58"/>
    </row>
    <row r="7" spans="1:12" ht="15">
      <c r="A7" s="58" t="s">
        <v>76</v>
      </c>
      <c r="B7" s="58">
        <f>'How many Customers'!C12</f>
        <v>15</v>
      </c>
      <c r="C7" s="58">
        <f>C6*B7</f>
        <v>750</v>
      </c>
      <c r="D7" s="58">
        <f>D6*B7</f>
        <v>1125</v>
      </c>
      <c r="E7" s="58"/>
      <c r="F7" s="58"/>
      <c r="G7" s="58"/>
      <c r="H7" s="58"/>
      <c r="I7" s="58"/>
      <c r="J7" s="58"/>
      <c r="K7" s="58"/>
      <c r="L7" s="58"/>
    </row>
    <row r="8" spans="1:12" ht="15">
      <c r="A8" s="58" t="s">
        <v>77</v>
      </c>
      <c r="B8" s="58">
        <f>B5+(B6*B7)</f>
        <v>2050</v>
      </c>
      <c r="C8" s="58"/>
      <c r="D8" s="58"/>
      <c r="E8" s="58"/>
      <c r="F8" s="58"/>
      <c r="G8" s="58"/>
      <c r="H8" s="58"/>
      <c r="I8" s="58"/>
      <c r="J8" s="58"/>
      <c r="K8" s="58"/>
      <c r="L8" s="58"/>
    </row>
    <row r="9" spans="1:12" ht="15">
      <c r="A9" s="58"/>
      <c r="B9" s="58"/>
      <c r="C9" s="58"/>
      <c r="D9" s="58"/>
      <c r="E9" s="58"/>
      <c r="F9" s="58"/>
      <c r="G9" s="58"/>
      <c r="H9" s="58"/>
      <c r="I9" s="58"/>
      <c r="J9" s="58"/>
      <c r="K9" s="58"/>
      <c r="L9" s="58"/>
    </row>
    <row r="10" spans="1:12" ht="15">
      <c r="A10" s="58"/>
      <c r="B10" s="58"/>
      <c r="C10" s="58"/>
      <c r="D10" s="58"/>
      <c r="E10" s="58"/>
      <c r="F10" s="58"/>
      <c r="G10" s="58"/>
      <c r="H10" s="58"/>
      <c r="I10" s="58"/>
      <c r="J10" s="58"/>
      <c r="K10" s="58"/>
      <c r="L10" s="58"/>
    </row>
    <row r="11" spans="1:12" ht="15">
      <c r="A11" s="58"/>
      <c r="B11" s="58"/>
      <c r="C11" s="58"/>
      <c r="D11" s="58"/>
      <c r="E11" s="58"/>
      <c r="F11" s="58"/>
      <c r="G11" s="58"/>
      <c r="H11" s="58"/>
      <c r="I11" s="58"/>
      <c r="J11" s="58"/>
      <c r="K11" s="58"/>
      <c r="L11" s="58"/>
    </row>
    <row r="12" spans="1:12" ht="15">
      <c r="A12" s="58"/>
      <c r="B12" s="58"/>
      <c r="C12" s="58"/>
      <c r="D12" s="58"/>
      <c r="E12" s="58"/>
      <c r="F12" s="58"/>
      <c r="G12" s="58"/>
      <c r="H12" s="58"/>
      <c r="I12" s="58"/>
      <c r="J12" s="58"/>
      <c r="K12" s="58"/>
      <c r="L12" s="58"/>
    </row>
    <row r="13" spans="1:12" ht="15">
      <c r="A13" s="58" t="s">
        <v>78</v>
      </c>
      <c r="B13" s="58">
        <f>C5</f>
        <v>50</v>
      </c>
      <c r="C13" s="58"/>
      <c r="D13" s="58"/>
      <c r="E13" s="58"/>
      <c r="F13" s="58"/>
      <c r="G13" s="58"/>
      <c r="H13" s="58"/>
      <c r="I13" s="58"/>
      <c r="J13" s="58"/>
      <c r="K13" s="58"/>
      <c r="L13" s="58"/>
    </row>
    <row r="14" spans="1:12" ht="15">
      <c r="A14" s="58" t="s">
        <v>79</v>
      </c>
      <c r="B14" s="58">
        <f>C7</f>
        <v>750</v>
      </c>
      <c r="C14" s="58">
        <v>0.15</v>
      </c>
      <c r="D14" s="58"/>
      <c r="E14" s="58"/>
      <c r="F14" s="58"/>
      <c r="G14" s="58"/>
      <c r="H14" s="58"/>
      <c r="I14" s="58"/>
      <c r="J14" s="58"/>
      <c r="K14" s="58"/>
      <c r="L14" s="58"/>
    </row>
    <row r="15" spans="1:12" ht="15">
      <c r="A15" s="58" t="s">
        <v>80</v>
      </c>
      <c r="B15" s="58">
        <f>B30*C5</f>
        <v>0</v>
      </c>
      <c r="C15" s="58"/>
      <c r="D15" s="58"/>
      <c r="E15" s="58"/>
      <c r="F15" s="58"/>
      <c r="G15" s="58"/>
      <c r="H15" s="58"/>
      <c r="I15" s="58"/>
      <c r="J15" s="58"/>
      <c r="K15" s="58"/>
      <c r="L15" s="58"/>
    </row>
    <row r="16" spans="1:12" ht="15">
      <c r="A16" s="58" t="s">
        <v>81</v>
      </c>
      <c r="B16" s="58">
        <f>B30*B14</f>
        <v>0</v>
      </c>
      <c r="C16" s="59">
        <v>0.1</v>
      </c>
      <c r="D16" s="58"/>
      <c r="E16" s="58"/>
      <c r="F16" s="58"/>
      <c r="G16" s="58"/>
      <c r="H16" s="58"/>
      <c r="I16" s="58"/>
      <c r="J16" s="58"/>
      <c r="K16" s="58"/>
      <c r="L16" s="58"/>
    </row>
    <row r="17" spans="1:12" ht="15">
      <c r="A17" s="58" t="s">
        <v>82</v>
      </c>
      <c r="B17" s="58">
        <f>D7+D5</f>
        <v>1250</v>
      </c>
      <c r="C17" s="58"/>
      <c r="D17" s="58"/>
      <c r="E17" s="58"/>
      <c r="F17" s="58"/>
      <c r="G17" s="58"/>
      <c r="H17" s="58"/>
      <c r="I17" s="58"/>
      <c r="J17" s="58"/>
      <c r="K17" s="58"/>
      <c r="L17" s="58"/>
    </row>
    <row r="18" spans="1:12" ht="15">
      <c r="A18" s="58" t="s">
        <v>83</v>
      </c>
      <c r="B18" s="58">
        <f>IF(B17&gt;299,300,B17)</f>
        <v>300</v>
      </c>
      <c r="C18" s="58"/>
      <c r="D18" s="58"/>
      <c r="E18" s="58"/>
      <c r="F18" s="58"/>
      <c r="G18" s="58"/>
      <c r="H18" s="58"/>
      <c r="I18" s="58"/>
      <c r="J18" s="58"/>
      <c r="K18" s="58"/>
      <c r="L18" s="58"/>
    </row>
    <row r="19" spans="1:12" ht="15">
      <c r="A19" s="58" t="s">
        <v>84</v>
      </c>
      <c r="B19" s="58">
        <f>B17-B18</f>
        <v>950</v>
      </c>
      <c r="C19" s="58">
        <v>0.05</v>
      </c>
      <c r="D19" s="59">
        <v>0.1</v>
      </c>
      <c r="E19" s="58"/>
      <c r="F19" s="58"/>
      <c r="G19" s="58"/>
      <c r="H19" s="58"/>
      <c r="I19" s="58" t="s">
        <v>85</v>
      </c>
      <c r="J19" s="58"/>
      <c r="K19" s="58"/>
      <c r="L19" s="58"/>
    </row>
    <row r="20" spans="1:12" ht="15">
      <c r="A20" s="58" t="s">
        <v>86</v>
      </c>
      <c r="B20" s="58">
        <f>VLOOKUP(B6,I20:J28,2,TRUE)</f>
        <v>10</v>
      </c>
      <c r="C20" s="58"/>
      <c r="D20" s="58"/>
      <c r="E20" s="58"/>
      <c r="F20" s="58"/>
      <c r="G20" s="58"/>
      <c r="H20" s="58"/>
      <c r="I20" s="58">
        <v>0</v>
      </c>
      <c r="J20" s="58">
        <v>5</v>
      </c>
      <c r="K20" s="58"/>
      <c r="L20" s="58"/>
    </row>
    <row r="21" spans="1:12" ht="15">
      <c r="A21" s="58"/>
      <c r="B21" s="58"/>
      <c r="C21" s="58"/>
      <c r="D21" s="58"/>
      <c r="E21" s="58"/>
      <c r="F21" s="58"/>
      <c r="G21" s="58"/>
      <c r="H21" s="58"/>
      <c r="I21" s="58">
        <v>100</v>
      </c>
      <c r="J21" s="58">
        <v>10</v>
      </c>
      <c r="K21" s="58"/>
      <c r="L21" s="58"/>
    </row>
    <row r="22" spans="1:12" ht="15">
      <c r="A22" s="58" t="s">
        <v>87</v>
      </c>
      <c r="B22" s="58">
        <f>IF(C5&gt;49,((B14*C14)+(B15*C14)),0)</f>
        <v>112.5</v>
      </c>
      <c r="C22" s="58"/>
      <c r="D22" s="58"/>
      <c r="E22" s="58"/>
      <c r="F22" s="58"/>
      <c r="G22" s="58"/>
      <c r="H22" s="58"/>
      <c r="I22" s="58">
        <v>150</v>
      </c>
      <c r="J22" s="58">
        <v>15</v>
      </c>
      <c r="K22" s="58"/>
      <c r="L22" s="58"/>
    </row>
    <row r="23" spans="1:12" ht="15">
      <c r="A23" s="58" t="s">
        <v>88</v>
      </c>
      <c r="B23" s="58">
        <f>IF(AND(C5&gt;49,B30&gt;1),B16*C16,0)</f>
        <v>0</v>
      </c>
      <c r="C23" s="58"/>
      <c r="D23" s="58"/>
      <c r="E23" s="58"/>
      <c r="F23" s="58"/>
      <c r="G23" s="58"/>
      <c r="H23" s="58"/>
      <c r="I23" s="58"/>
      <c r="J23" s="58"/>
      <c r="K23" s="58"/>
      <c r="L23" s="58"/>
    </row>
    <row r="24" spans="1:12" ht="15">
      <c r="A24" s="58" t="s">
        <v>89</v>
      </c>
      <c r="B24" s="58">
        <f>IF(C5&gt;49,B19*C19,0)</f>
        <v>47.5</v>
      </c>
      <c r="C24" s="58"/>
      <c r="D24" s="58"/>
      <c r="E24" s="58"/>
      <c r="F24" s="58"/>
      <c r="G24" s="58"/>
      <c r="H24" s="58"/>
      <c r="I24" s="58">
        <v>200</v>
      </c>
      <c r="J24" s="58">
        <v>20</v>
      </c>
      <c r="K24" s="58"/>
      <c r="L24" s="58"/>
    </row>
    <row r="25" spans="1:12" ht="15">
      <c r="A25" s="58" t="s">
        <v>90</v>
      </c>
      <c r="B25" s="58">
        <f>IF(AND(C5&gt;49,B18&gt;299),B30*B18*C19,0)</f>
        <v>0</v>
      </c>
      <c r="C25" s="58"/>
      <c r="D25" s="58"/>
      <c r="E25" s="58"/>
      <c r="F25" s="58"/>
      <c r="G25" s="58"/>
      <c r="H25" s="58"/>
      <c r="I25" s="58"/>
      <c r="J25" s="58"/>
      <c r="K25" s="58"/>
      <c r="L25" s="58"/>
    </row>
    <row r="26" spans="1:12" ht="15">
      <c r="A26" s="58" t="s">
        <v>91</v>
      </c>
      <c r="B26" s="58">
        <f>B20*B7</f>
        <v>150</v>
      </c>
      <c r="C26" s="58"/>
      <c r="D26" s="58"/>
      <c r="E26" s="58"/>
      <c r="F26" s="58"/>
      <c r="G26" s="58"/>
      <c r="H26" s="58"/>
      <c r="I26" s="58">
        <v>250</v>
      </c>
      <c r="J26" s="58">
        <v>25</v>
      </c>
      <c r="K26" s="58"/>
      <c r="L26" s="58"/>
    </row>
    <row r="27" spans="1:12" ht="15">
      <c r="A27" s="58"/>
      <c r="B27" s="58"/>
      <c r="C27" s="58"/>
      <c r="D27" s="58"/>
      <c r="E27" s="58"/>
      <c r="F27" s="58"/>
      <c r="G27" s="58"/>
      <c r="H27" s="58"/>
      <c r="I27" s="58">
        <v>300</v>
      </c>
      <c r="J27" s="58">
        <v>30</v>
      </c>
      <c r="K27" s="58"/>
      <c r="L27" s="58"/>
    </row>
    <row r="28" spans="1:12" ht="15">
      <c r="A28" s="58" t="s">
        <v>92</v>
      </c>
      <c r="B28" s="58">
        <f>SUM(B22:B26)</f>
        <v>310</v>
      </c>
      <c r="C28" s="58"/>
      <c r="D28" s="58"/>
      <c r="E28" s="58"/>
      <c r="F28" s="58"/>
      <c r="G28" s="58"/>
      <c r="H28" s="58"/>
      <c r="I28" s="58">
        <v>350</v>
      </c>
      <c r="J28" s="58">
        <v>35</v>
      </c>
      <c r="K28" s="58"/>
      <c r="L28" s="58"/>
    </row>
    <row r="29" spans="1:12" ht="15">
      <c r="A29" s="58"/>
      <c r="B29" s="58"/>
      <c r="C29" s="58"/>
      <c r="D29" s="58"/>
      <c r="E29" s="58"/>
      <c r="F29" s="58"/>
      <c r="G29" s="58"/>
      <c r="H29" s="58"/>
      <c r="I29" s="58"/>
      <c r="J29" s="58"/>
      <c r="K29" s="58"/>
      <c r="L29" s="58"/>
    </row>
    <row r="30" spans="1:12" ht="15">
      <c r="A30" s="58" t="s">
        <v>93</v>
      </c>
      <c r="B30" s="58">
        <f>'How many Customers'!C14</f>
        <v>0</v>
      </c>
      <c r="C30" s="58"/>
      <c r="D30" s="58"/>
      <c r="E30" s="58"/>
      <c r="F30" s="58"/>
      <c r="G30" s="58"/>
      <c r="H30" s="58"/>
      <c r="I30" s="58"/>
      <c r="J30" s="58"/>
      <c r="K30" s="58"/>
      <c r="L30" s="58"/>
    </row>
    <row r="31" spans="1:12" ht="15">
      <c r="A31" s="58"/>
      <c r="B31" s="58"/>
      <c r="C31" s="58"/>
      <c r="D31" s="58"/>
      <c r="E31" s="58"/>
      <c r="F31" s="58"/>
      <c r="G31" s="58"/>
      <c r="H31" s="58"/>
      <c r="I31" s="58"/>
      <c r="J31" s="58"/>
      <c r="K31" s="58"/>
      <c r="L31" s="58"/>
    </row>
    <row r="32" spans="1:12" ht="15">
      <c r="A32" s="58" t="s">
        <v>94</v>
      </c>
      <c r="B32" s="58">
        <f>B30*B18</f>
        <v>0</v>
      </c>
      <c r="C32" s="58"/>
      <c r="D32" s="58"/>
      <c r="E32" s="58"/>
      <c r="F32" s="58"/>
      <c r="G32" s="58"/>
      <c r="H32" s="58"/>
      <c r="I32" s="58"/>
      <c r="J32" s="58"/>
      <c r="K32" s="58"/>
      <c r="L32" s="58"/>
    </row>
    <row r="33" spans="1:12" ht="15">
      <c r="A33" s="58" t="s">
        <v>95</v>
      </c>
      <c r="B33" s="58">
        <f>B30*B19</f>
        <v>0</v>
      </c>
      <c r="C33" s="58"/>
      <c r="D33" s="58"/>
      <c r="E33" s="58"/>
      <c r="F33" s="58"/>
      <c r="G33" s="58"/>
      <c r="H33" s="58"/>
      <c r="I33" s="58"/>
      <c r="J33" s="58"/>
      <c r="K33" s="58"/>
      <c r="L33" s="58"/>
    </row>
    <row r="34" spans="1:12" ht="15">
      <c r="A34" s="58"/>
      <c r="B34" s="58"/>
      <c r="C34" s="58"/>
      <c r="D34" s="58"/>
      <c r="E34" s="58"/>
      <c r="F34" s="58"/>
      <c r="G34" s="58"/>
      <c r="H34" s="58"/>
      <c r="I34" s="58"/>
      <c r="J34" s="58"/>
      <c r="K34" s="58"/>
      <c r="L34" s="58"/>
    </row>
    <row r="35" spans="1:12" ht="15">
      <c r="A35" s="58" t="s">
        <v>96</v>
      </c>
      <c r="B35" s="58">
        <f>IF(AND(B30&gt;2,C5&gt;49,B18&gt;299),((B32*0.1)+(B19*D19)),0)</f>
        <v>0</v>
      </c>
      <c r="C35" s="58"/>
      <c r="D35" s="58"/>
      <c r="E35" s="58"/>
      <c r="F35" s="58"/>
      <c r="G35" s="58"/>
      <c r="H35" s="58"/>
      <c r="I35" s="58"/>
      <c r="J35" s="58"/>
      <c r="K35" s="58"/>
      <c r="L35" s="58"/>
    </row>
    <row r="36" spans="1:12" ht="15">
      <c r="A36" s="58" t="s">
        <v>97</v>
      </c>
      <c r="B36" s="58">
        <f>IF(AND(B30&gt;2,C5&gt;49,B18&gt;299),B33*D19,0)</f>
        <v>0</v>
      </c>
      <c r="C36" s="58"/>
      <c r="D36" s="58"/>
      <c r="E36" s="58"/>
      <c r="F36" s="58"/>
      <c r="G36" s="58"/>
      <c r="H36" s="58"/>
      <c r="I36" s="58"/>
      <c r="J36" s="58"/>
      <c r="K36" s="58"/>
      <c r="L36" s="58"/>
    </row>
    <row r="37" spans="1:12" ht="15">
      <c r="A37" s="58"/>
      <c r="B37" s="58"/>
      <c r="C37" s="58"/>
      <c r="D37" s="58"/>
      <c r="E37" s="58"/>
      <c r="F37" s="58"/>
      <c r="G37" s="58"/>
      <c r="H37" s="58"/>
      <c r="I37" s="58"/>
      <c r="J37" s="58"/>
      <c r="K37" s="58"/>
      <c r="L37" s="58"/>
    </row>
    <row r="38" spans="1:12" ht="15">
      <c r="A38" s="58" t="s">
        <v>98</v>
      </c>
      <c r="B38" s="58">
        <f>B35+B36</f>
        <v>0</v>
      </c>
      <c r="C38" s="58"/>
      <c r="D38" s="58"/>
      <c r="E38" s="58"/>
      <c r="F38" s="58"/>
      <c r="G38" s="58"/>
      <c r="H38" s="58"/>
      <c r="I38" s="58"/>
      <c r="J38" s="58"/>
      <c r="K38" s="58"/>
      <c r="L38" s="58"/>
    </row>
    <row r="39" spans="1:12" ht="15">
      <c r="A39" s="58"/>
      <c r="B39" s="58"/>
      <c r="C39" s="58"/>
      <c r="D39" s="58"/>
      <c r="E39" s="58"/>
      <c r="F39" s="58"/>
      <c r="G39" s="58"/>
      <c r="H39" s="58"/>
      <c r="I39" s="58"/>
      <c r="J39" s="58"/>
      <c r="K39" s="58"/>
      <c r="L39" s="58"/>
    </row>
    <row r="40" spans="1:12" ht="15">
      <c r="A40" s="58" t="s">
        <v>99</v>
      </c>
      <c r="B40" s="58">
        <f>B28+B38</f>
        <v>310</v>
      </c>
      <c r="C40" s="58"/>
      <c r="D40" s="58"/>
      <c r="E40" s="58"/>
      <c r="F40" s="58"/>
      <c r="G40" s="58"/>
      <c r="H40" s="58"/>
      <c r="I40" s="58"/>
      <c r="J40" s="58"/>
      <c r="K40" s="58"/>
      <c r="L40" s="58"/>
    </row>
    <row r="41" spans="1:12" ht="15">
      <c r="A41" s="58"/>
      <c r="B41" s="58"/>
      <c r="C41" s="58"/>
      <c r="D41" s="58"/>
      <c r="E41" s="58"/>
      <c r="F41" s="58"/>
      <c r="G41" s="58"/>
      <c r="H41" s="58"/>
      <c r="I41" s="58"/>
      <c r="J41" s="58"/>
      <c r="K41" s="58"/>
      <c r="L41" s="58"/>
    </row>
    <row r="42" spans="1:12" ht="15">
      <c r="A42" s="58"/>
      <c r="B42" s="58"/>
      <c r="C42" s="58"/>
      <c r="D42" s="58"/>
      <c r="E42" s="58"/>
      <c r="F42" s="58"/>
      <c r="G42" s="58"/>
      <c r="H42" s="58"/>
      <c r="I42" s="58"/>
      <c r="J42" s="58"/>
      <c r="K42" s="58"/>
      <c r="L42" s="58"/>
    </row>
  </sheetData>
  <sheetProtection password="8566" sheet="1" objects="1" scenarios="1" selectLockedCells="1"/>
  <printOptions/>
  <pageMargins left="0.75" right="0.75" top="1" bottom="1" header="0.5" footer="0.5"/>
  <pageSetup orientation="portrait"/>
</worksheet>
</file>

<file path=xl/worksheets/sheet7.xml><?xml version="1.0" encoding="utf-8"?>
<worksheet xmlns="http://schemas.openxmlformats.org/spreadsheetml/2006/main" xmlns:r="http://schemas.openxmlformats.org/officeDocument/2006/relationships">
  <dimension ref="A1:H40"/>
  <sheetViews>
    <sheetView tabSelected="1" zoomScale="135" zoomScaleNormal="135" workbookViewId="0" topLeftCell="A1">
      <selection activeCell="G6" sqref="G6:G8"/>
    </sheetView>
  </sheetViews>
  <sheetFormatPr defaultColWidth="11.421875" defaultRowHeight="12.75"/>
  <cols>
    <col min="5" max="5" width="15.8515625" style="0" customWidth="1"/>
    <col min="6" max="6" width="8.140625" style="0" customWidth="1"/>
  </cols>
  <sheetData>
    <row r="1" spans="1:8" ht="12.75">
      <c r="A1" s="99"/>
      <c r="B1" s="99"/>
      <c r="C1" s="99"/>
      <c r="D1" s="99"/>
      <c r="E1" s="99"/>
      <c r="F1" s="99"/>
      <c r="G1" s="99"/>
      <c r="H1" s="99"/>
    </row>
    <row r="2" spans="1:8" ht="12.75">
      <c r="A2" s="99"/>
      <c r="B2" s="99"/>
      <c r="C2" s="99"/>
      <c r="D2" s="99"/>
      <c r="E2" s="99"/>
      <c r="F2" s="99"/>
      <c r="G2" s="99"/>
      <c r="H2" s="99"/>
    </row>
    <row r="3" spans="1:8" ht="12.75">
      <c r="A3" s="99"/>
      <c r="B3" s="99"/>
      <c r="C3" s="99"/>
      <c r="D3" s="99"/>
      <c r="E3" s="99"/>
      <c r="F3" s="99"/>
      <c r="G3" s="99"/>
      <c r="H3" s="99"/>
    </row>
    <row r="4" spans="1:8" ht="12">
      <c r="A4" s="93"/>
      <c r="B4" s="93"/>
      <c r="C4" s="93"/>
      <c r="D4" s="93"/>
      <c r="E4" s="93"/>
      <c r="F4" s="93"/>
      <c r="G4" s="93"/>
      <c r="H4" s="93"/>
    </row>
    <row r="5" spans="1:8" ht="18.75" customHeight="1" thickBot="1">
      <c r="A5" s="93"/>
      <c r="B5" s="93"/>
      <c r="C5" s="93"/>
      <c r="D5" s="97" t="s">
        <v>107</v>
      </c>
      <c r="E5" s="93"/>
      <c r="F5" s="93"/>
      <c r="G5" s="110" t="str">
        <f>IF(G6&gt;349," ","ERROR Min. 350")</f>
        <v> </v>
      </c>
      <c r="H5" s="110"/>
    </row>
    <row r="6" spans="1:8" ht="12.75" thickTop="1">
      <c r="A6" s="93"/>
      <c r="B6" s="93"/>
      <c r="C6" s="93"/>
      <c r="D6" s="93"/>
      <c r="E6" s="93"/>
      <c r="F6" s="93"/>
      <c r="G6" s="111">
        <v>350</v>
      </c>
      <c r="H6" s="93"/>
    </row>
    <row r="7" spans="1:8" ht="12">
      <c r="A7" s="93"/>
      <c r="B7" s="96"/>
      <c r="C7" s="96"/>
      <c r="D7" s="96"/>
      <c r="E7" s="96"/>
      <c r="F7" s="100" t="s">
        <v>104</v>
      </c>
      <c r="G7" s="112"/>
      <c r="H7" s="93" t="s">
        <v>108</v>
      </c>
    </row>
    <row r="8" spans="1:8" ht="12.75" thickBot="1">
      <c r="A8" s="93"/>
      <c r="B8" s="93"/>
      <c r="C8" s="93"/>
      <c r="D8" s="93"/>
      <c r="E8" s="93"/>
      <c r="F8" s="93"/>
      <c r="G8" s="113"/>
      <c r="H8" s="93"/>
    </row>
    <row r="9" spans="1:8" ht="7.5" customHeight="1" thickTop="1">
      <c r="A9" s="93"/>
      <c r="B9" s="93"/>
      <c r="C9" s="93"/>
      <c r="D9" s="93"/>
      <c r="E9" s="93"/>
      <c r="F9" s="93"/>
      <c r="G9" s="93"/>
      <c r="H9" s="93"/>
    </row>
    <row r="10" spans="1:8" ht="4.5" customHeight="1">
      <c r="A10" s="93"/>
      <c r="B10" s="93"/>
      <c r="C10" s="93"/>
      <c r="D10" s="93"/>
      <c r="E10" s="93"/>
      <c r="F10" s="93"/>
      <c r="G10" s="98" t="s">
        <v>106</v>
      </c>
      <c r="H10" s="98"/>
    </row>
    <row r="11" spans="1:8" ht="15.75" customHeight="1">
      <c r="A11" s="93"/>
      <c r="B11" s="93"/>
      <c r="C11" s="93"/>
      <c r="D11" s="93"/>
      <c r="E11" s="93"/>
      <c r="F11" s="93"/>
      <c r="G11" s="98"/>
      <c r="H11" s="98"/>
    </row>
    <row r="12" spans="1:8" ht="10.5" customHeight="1">
      <c r="A12" s="93"/>
      <c r="B12" s="93"/>
      <c r="C12" s="93"/>
      <c r="D12" s="93"/>
      <c r="E12" s="93"/>
      <c r="F12" s="93"/>
      <c r="G12" s="98"/>
      <c r="H12" s="98"/>
    </row>
    <row r="13" spans="1:8" ht="9" customHeight="1">
      <c r="A13" s="93"/>
      <c r="B13" s="93"/>
      <c r="C13" s="93"/>
      <c r="D13" s="93"/>
      <c r="E13" s="93"/>
      <c r="F13" s="93"/>
      <c r="G13" s="98"/>
      <c r="H13" s="98"/>
    </row>
    <row r="14" spans="1:8" ht="9" customHeight="1" thickBot="1">
      <c r="A14" s="93"/>
      <c r="B14" s="93"/>
      <c r="C14" s="93"/>
      <c r="D14" s="93"/>
      <c r="E14" s="93"/>
      <c r="F14" s="93"/>
      <c r="G14" s="93"/>
      <c r="H14" s="93"/>
    </row>
    <row r="15" spans="1:8" ht="12.75">
      <c r="A15" s="93"/>
      <c r="B15" s="93"/>
      <c r="C15" s="93"/>
      <c r="D15" s="93"/>
      <c r="E15" s="93"/>
      <c r="F15" s="93"/>
      <c r="G15" s="94">
        <f>IF(G6&lt;350,"##",ROUNDUP((25000/G6),))</f>
        <v>72</v>
      </c>
      <c r="H15" s="93"/>
    </row>
    <row r="16" spans="1:8" ht="13.5" thickBot="1">
      <c r="A16" s="93"/>
      <c r="B16" s="93"/>
      <c r="C16" s="93"/>
      <c r="D16" s="93"/>
      <c r="E16" s="93"/>
      <c r="F16" s="93"/>
      <c r="G16" s="95"/>
      <c r="H16" s="93" t="s">
        <v>105</v>
      </c>
    </row>
    <row r="17" spans="1:8" ht="12" customHeight="1">
      <c r="A17" s="93"/>
      <c r="B17" s="93"/>
      <c r="C17" s="93"/>
      <c r="D17" s="93"/>
      <c r="E17" s="93"/>
      <c r="F17" s="93"/>
      <c r="G17" s="93"/>
      <c r="H17" s="93"/>
    </row>
    <row r="18" spans="1:8" ht="10.5" customHeight="1" thickBot="1">
      <c r="A18" s="93"/>
      <c r="B18" s="93"/>
      <c r="C18" s="93"/>
      <c r="D18" s="93"/>
      <c r="E18" s="93"/>
      <c r="F18" s="93"/>
      <c r="G18" s="93"/>
      <c r="H18" s="93"/>
    </row>
    <row r="19" spans="1:8" ht="12.75">
      <c r="A19" s="93"/>
      <c r="B19" s="93"/>
      <c r="C19" s="93"/>
      <c r="D19" s="93"/>
      <c r="E19" s="93"/>
      <c r="F19" s="93"/>
      <c r="G19" s="94">
        <f>IF(G6&lt;350,"##",ROUNDUP((17500/G6),0))</f>
        <v>50</v>
      </c>
      <c r="H19" s="93"/>
    </row>
    <row r="20" spans="1:8" ht="13.5" thickBot="1">
      <c r="A20" s="93"/>
      <c r="B20" s="93"/>
      <c r="C20" s="93"/>
      <c r="D20" s="93"/>
      <c r="E20" s="93"/>
      <c r="F20" s="93"/>
      <c r="G20" s="95"/>
      <c r="H20" s="93" t="s">
        <v>105</v>
      </c>
    </row>
    <row r="21" spans="1:8" ht="10.5" customHeight="1">
      <c r="A21" s="93"/>
      <c r="B21" s="93"/>
      <c r="C21" s="93"/>
      <c r="D21" s="93"/>
      <c r="E21" s="93"/>
      <c r="F21" s="93"/>
      <c r="G21" s="93"/>
      <c r="H21" s="93"/>
    </row>
    <row r="22" spans="1:8" ht="13.5" thickBot="1">
      <c r="A22" s="93"/>
      <c r="B22" s="93"/>
      <c r="C22" s="93"/>
      <c r="D22" s="93"/>
      <c r="E22" s="93"/>
      <c r="F22" s="93"/>
      <c r="G22" s="93"/>
      <c r="H22" s="93"/>
    </row>
    <row r="23" spans="1:8" ht="12.75">
      <c r="A23" s="93"/>
      <c r="B23" s="93"/>
      <c r="C23" s="93"/>
      <c r="D23" s="93"/>
      <c r="E23" s="93"/>
      <c r="F23" s="93"/>
      <c r="G23" s="94">
        <f>IF(G6&lt;350,"##",ROUNDUP((10000/G6),0))</f>
        <v>29</v>
      </c>
      <c r="H23" s="93"/>
    </row>
    <row r="24" spans="1:8" ht="13.5" thickBot="1">
      <c r="A24" s="93"/>
      <c r="B24" s="93"/>
      <c r="C24" s="93"/>
      <c r="D24" s="93"/>
      <c r="E24" s="93"/>
      <c r="F24" s="93"/>
      <c r="G24" s="95"/>
      <c r="H24" s="93" t="s">
        <v>105</v>
      </c>
    </row>
    <row r="25" spans="1:8" ht="9.75" customHeight="1">
      <c r="A25" s="93"/>
      <c r="B25" s="93"/>
      <c r="C25" s="93"/>
      <c r="D25" s="93"/>
      <c r="E25" s="93"/>
      <c r="F25" s="93"/>
      <c r="G25" s="93"/>
      <c r="H25" s="93"/>
    </row>
    <row r="26" spans="1:8" ht="13.5" thickBot="1">
      <c r="A26" s="93"/>
      <c r="B26" s="93"/>
      <c r="C26" s="93"/>
      <c r="D26" s="93"/>
      <c r="E26" s="93"/>
      <c r="F26" s="93"/>
      <c r="G26" s="93"/>
      <c r="H26" s="93"/>
    </row>
    <row r="27" spans="1:8" ht="12.75">
      <c r="A27" s="93"/>
      <c r="B27" s="93"/>
      <c r="C27" s="93"/>
      <c r="D27" s="93"/>
      <c r="E27" s="93"/>
      <c r="F27" s="93"/>
      <c r="G27" s="94">
        <f>IF(G6&lt;350,"##",ROUNDUP((5000/G6),0))</f>
        <v>15</v>
      </c>
      <c r="H27" s="93"/>
    </row>
    <row r="28" spans="1:8" ht="13.5" thickBot="1">
      <c r="A28" s="93"/>
      <c r="B28" s="93"/>
      <c r="C28" s="93"/>
      <c r="D28" s="93"/>
      <c r="E28" s="93"/>
      <c r="F28" s="93"/>
      <c r="G28" s="95"/>
      <c r="H28" s="93" t="s">
        <v>105</v>
      </c>
    </row>
    <row r="29" spans="1:8" ht="12.75">
      <c r="A29" s="93"/>
      <c r="B29" s="93"/>
      <c r="C29" s="93"/>
      <c r="D29" s="93"/>
      <c r="E29" s="93"/>
      <c r="F29" s="93"/>
      <c r="G29" s="93"/>
      <c r="H29" s="93"/>
    </row>
    <row r="30" spans="1:8" ht="9.75" customHeight="1" thickBot="1">
      <c r="A30" s="93"/>
      <c r="B30" s="93"/>
      <c r="C30" s="93"/>
      <c r="D30" s="93"/>
      <c r="E30" s="93"/>
      <c r="F30" s="93"/>
      <c r="G30" s="93"/>
      <c r="H30" s="93"/>
    </row>
    <row r="31" spans="1:8" ht="12.75">
      <c r="A31" s="93"/>
      <c r="B31" s="93"/>
      <c r="C31" s="93"/>
      <c r="D31" s="93"/>
      <c r="E31" s="93"/>
      <c r="F31" s="93"/>
      <c r="G31" s="94">
        <f>IF(G6&lt;350,"##",ROUNDUP((2500/G6),0))</f>
        <v>8</v>
      </c>
      <c r="H31" s="93"/>
    </row>
    <row r="32" spans="1:8" ht="13.5" thickBot="1">
      <c r="A32" s="93"/>
      <c r="B32" s="93"/>
      <c r="C32" s="93"/>
      <c r="D32" s="93"/>
      <c r="E32" s="93"/>
      <c r="F32" s="93"/>
      <c r="G32" s="95"/>
      <c r="H32" s="93" t="s">
        <v>105</v>
      </c>
    </row>
    <row r="33" spans="1:8" ht="12.75">
      <c r="A33" s="93"/>
      <c r="B33" s="93"/>
      <c r="C33" s="93"/>
      <c r="D33" s="93"/>
      <c r="E33" s="93"/>
      <c r="F33" s="93"/>
      <c r="G33" s="93"/>
      <c r="H33" s="93"/>
    </row>
    <row r="34" spans="1:8" ht="12.75">
      <c r="A34" s="93"/>
      <c r="B34" s="93"/>
      <c r="C34" s="93"/>
      <c r="D34" s="93"/>
      <c r="E34" s="93"/>
      <c r="F34" s="93"/>
      <c r="G34" s="93"/>
      <c r="H34" s="93"/>
    </row>
    <row r="35" spans="1:8" ht="4.5" customHeight="1">
      <c r="A35" s="93"/>
      <c r="B35" s="93"/>
      <c r="C35" s="93"/>
      <c r="D35" s="93"/>
      <c r="E35" s="93"/>
      <c r="F35" s="93"/>
      <c r="G35" s="93"/>
      <c r="H35" s="93"/>
    </row>
    <row r="36" spans="1:8" ht="3.75" customHeight="1">
      <c r="A36" s="93"/>
      <c r="B36" s="93"/>
      <c r="C36" s="93"/>
      <c r="D36" s="93"/>
      <c r="E36" s="93"/>
      <c r="F36" s="93"/>
      <c r="G36" s="93"/>
      <c r="H36" s="93"/>
    </row>
    <row r="37" spans="1:8" ht="12">
      <c r="A37" s="93"/>
      <c r="B37" s="101" t="s">
        <v>109</v>
      </c>
      <c r="C37" s="102"/>
      <c r="D37" s="102"/>
      <c r="E37" s="102"/>
      <c r="F37" s="102"/>
      <c r="G37" s="103"/>
      <c r="H37" s="93"/>
    </row>
    <row r="38" spans="1:8" ht="12.75" customHeight="1">
      <c r="A38" s="93"/>
      <c r="B38" s="104"/>
      <c r="C38" s="105"/>
      <c r="D38" s="105"/>
      <c r="E38" s="105"/>
      <c r="F38" s="105"/>
      <c r="G38" s="106"/>
      <c r="H38" s="93"/>
    </row>
    <row r="39" spans="1:8" ht="12.75" customHeight="1">
      <c r="A39" s="93"/>
      <c r="B39" s="107"/>
      <c r="C39" s="108"/>
      <c r="D39" s="108"/>
      <c r="E39" s="108"/>
      <c r="F39" s="108"/>
      <c r="G39" s="109"/>
      <c r="H39" s="93"/>
    </row>
    <row r="40" spans="1:8" ht="12">
      <c r="A40" s="93"/>
      <c r="B40" s="93"/>
      <c r="C40" s="93"/>
      <c r="D40" s="93"/>
      <c r="E40" s="93"/>
      <c r="F40" s="93"/>
      <c r="G40" s="93"/>
      <c r="H40" s="93"/>
    </row>
  </sheetData>
  <sheetProtection password="8566" sheet="1" objects="1" scenarios="1" selectLockedCells="1"/>
  <mergeCells count="9">
    <mergeCell ref="B37:G39"/>
    <mergeCell ref="G5:H5"/>
    <mergeCell ref="G15:G16"/>
    <mergeCell ref="G19:G20"/>
    <mergeCell ref="G23:G24"/>
    <mergeCell ref="G27:G28"/>
    <mergeCell ref="G31:G32"/>
    <mergeCell ref="G6:G8"/>
    <mergeCell ref="G10:H13"/>
  </mergeCells>
  <printOp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Authorized Customer</dc:creator>
  <cp:keywords/>
  <dc:description/>
  <cp:lastModifiedBy>Melyn Campbell</cp:lastModifiedBy>
  <cp:lastPrinted>2015-08-12T15:37:44Z</cp:lastPrinted>
  <dcterms:created xsi:type="dcterms:W3CDTF">2008-01-16T14:01:55Z</dcterms:created>
  <dcterms:modified xsi:type="dcterms:W3CDTF">2017-09-14T05:57:17Z</dcterms:modified>
  <cp:category/>
  <cp:version/>
  <cp:contentType/>
  <cp:contentStatus/>
</cp:coreProperties>
</file>