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640" windowHeight="12120" activeTab="2"/>
  </bookViews>
  <sheets>
    <sheet name="Unilevel" sheetId="1" r:id="rId1"/>
    <sheet name="TriBrid" sheetId="2" r:id="rId2"/>
    <sheet name="How many will you sponsor" sheetId="3" r:id="rId3"/>
    <sheet name="HMsupport" sheetId="4" state="hidden" r:id="rId4"/>
    <sheet name="How many Customers" sheetId="5" r:id="rId5"/>
    <sheet name="HMCsupport" sheetId="6" state="hidden" r:id="rId6"/>
  </sheets>
  <definedNames/>
  <calcPr fullCalcOnLoad="1"/>
</workbook>
</file>

<file path=xl/sharedStrings.xml><?xml version="1.0" encoding="utf-8"?>
<sst xmlns="http://schemas.openxmlformats.org/spreadsheetml/2006/main" count="179" uniqueCount="103">
  <si>
    <t>Personal</t>
  </si>
  <si>
    <t>Level 2</t>
  </si>
  <si>
    <t>Level 3</t>
  </si>
  <si>
    <t>Level 4</t>
  </si>
  <si>
    <t>Level 5</t>
  </si>
  <si>
    <t>Level 6</t>
  </si>
  <si>
    <t>%</t>
  </si>
  <si>
    <t>Duplication</t>
  </si>
  <si>
    <t>per distributor</t>
  </si>
  <si>
    <t>per level</t>
  </si>
  <si>
    <t xml:space="preserve">Total </t>
  </si>
  <si>
    <t>Distributors</t>
  </si>
  <si>
    <t>Per Level</t>
  </si>
  <si>
    <t>Commission</t>
  </si>
  <si>
    <t>Volume per</t>
  </si>
  <si>
    <t>Yellow Boxes are the data that can be changed.</t>
  </si>
  <si>
    <t>dist. Volume of</t>
  </si>
  <si>
    <t>level at per</t>
  </si>
  <si>
    <t>Avg # Cust./</t>
  </si>
  <si>
    <t>distributor</t>
  </si>
  <si>
    <t xml:space="preserve"> </t>
  </si>
  <si>
    <t>%</t>
  </si>
  <si>
    <t>You</t>
  </si>
  <si>
    <t>Fast Start</t>
  </si>
  <si>
    <t>Bonuses</t>
  </si>
  <si>
    <t>Per level</t>
  </si>
  <si>
    <t>One-time</t>
  </si>
  <si>
    <t>CORE 50</t>
  </si>
  <si>
    <t>Unilevel</t>
  </si>
  <si>
    <t>Totals</t>
  </si>
  <si>
    <t>Monthly</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</si>
  <si>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DOES NOT INCLUDE RETAIL MARKUP ON CUSTOMERS. </t>
    </r>
  </si>
  <si>
    <t>Savings Account rate and amount needed to equal monthly commission:</t>
  </si>
  <si>
    <t>Column B:  Duplication of distributors.  For instance you personally enroll 30 (row8). They each enroll 5 (row 9), who each enroll 4 (Row 10) etc.</t>
  </si>
  <si>
    <t>CORE 50 Unilevel Demonstrator plus one-time Fast Start Bonuses</t>
  </si>
  <si>
    <t>Annual:</t>
  </si>
  <si>
    <t>Leader FULL TRIBRID Model</t>
  </si>
  <si>
    <t>Generation 1</t>
  </si>
  <si>
    <t>Generation 2</t>
  </si>
  <si>
    <t>Generation 3</t>
  </si>
  <si>
    <t>Generation 4</t>
  </si>
  <si>
    <t>Generation 5</t>
  </si>
  <si>
    <t>Generation 6</t>
  </si>
  <si>
    <t>Generation 7</t>
  </si>
  <si>
    <t>Combined</t>
  </si>
  <si>
    <t>Unilevel/Portal</t>
  </si>
  <si>
    <t>Per Level/Gen</t>
  </si>
  <si>
    <t>distributor of:</t>
  </si>
  <si>
    <t>Column B:  Duplication of distributors.  For instance, personally enroll 10 (row8). They each enroll 5 (row 9), who each enroll 4 (Row 10) etc.</t>
  </si>
  <si>
    <t>Pay</t>
  </si>
  <si>
    <t>Per</t>
  </si>
  <si>
    <t>Level</t>
  </si>
  <si>
    <t>per Gen.</t>
  </si>
  <si>
    <t>Avg.</t>
  </si>
  <si>
    <t>Comm.</t>
  </si>
  <si>
    <t>Cust./Dist.</t>
  </si>
  <si>
    <t>Avg #</t>
  </si>
  <si>
    <t>Cust.</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</si>
  <si>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Certain listed percentages are only averages based on prior actual pay.  DOES NOT INCLUDE RETAIL MARKUP ON CUSTOMERS. </t>
    </r>
  </si>
  <si>
    <t>How many Xec's will you personally enroll?</t>
  </si>
  <si>
    <t>How many of your personally enrolled Xec's will enroll the same number of Xec's as you have? (1st Generation)</t>
  </si>
  <si>
    <t>How many of those Xec's will enroll the same number as you? (2nd-7th Generations)</t>
  </si>
  <si>
    <r>
      <t xml:space="preserve">How many "Find Your Limitless" pak </t>
    </r>
    <r>
      <rPr>
        <b/>
        <sz val="12"/>
        <rFont val="Arial"/>
        <family val="2"/>
      </rPr>
      <t>customers</t>
    </r>
    <r>
      <rPr>
        <sz val="12"/>
        <rFont val="Arial"/>
        <family val="0"/>
      </rPr>
      <t xml:space="preserve"> will you gather and maintain in your first year as a Limitless Worldwide distributor? (min. 2 + You = Xec)</t>
    </r>
  </si>
  <si>
    <t>To earn this amount from interest in a savings account, enter in your interest rate to find out how much money you would need to have saved (after taxes, of course!)</t>
  </si>
  <si>
    <t xml:space="preserve">          YOUR MONTHLY COMMISSIONS AND OVERRIDES:</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</si>
  <si>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Certain listed percentages are only averages based on prior actual pay.  DOES NOT INCLUDE RETAIL MARKUP ON CUSTOMERS or LADDER BONUSES. </t>
    </r>
  </si>
  <si>
    <t>LL14757-11</t>
  </si>
  <si>
    <t>DISCLAIMER:   YOUR MILEAGE WILL VARY!  THIS IS NOT A GUARANTEE OF INCOME!  THIS ONLY SERVES TO DEMONSTRATE! Due to the GENERAL ASSUMPTIONS used to demonstrate, this is also not an exact, accurate portrayal. Certain listed percentages are only averages based on prior actual pay.  DOES NOT INCLUDE RETAIL MARKUP ON CUSTOMERS or LADDER BONUSES.</t>
  </si>
  <si>
    <t>Assumes 2 customers/Xec</t>
  </si>
  <si>
    <t>How much will you personally spend each month? (min. 50 PSV)</t>
  </si>
  <si>
    <t>How much monthly volume (PSV) will your average customer have?</t>
  </si>
  <si>
    <t>How many customers will you acquire?</t>
  </si>
  <si>
    <t>How many personally enrolled Xec's will you enroll who have the same customer perameters as you?</t>
  </si>
  <si>
    <t xml:space="preserve">  YOUR ESTIMATED MONTHLY RETAIL BONUS AND COMMISSIONS:</t>
  </si>
  <si>
    <t>DISCLAIMER:   YOUR MILEAGE WILL VARY!  THIS IS NOT A GUARANTEE OF INCOME!  THIS ONLY SERVES TO DEMONSTRATE! Due to the GENERAL ASSUMPTIONS used to demonstrate, this is also not an exact, accurate portrayal. Certain listed percentages are only averages based on prior actual pay. Demonstrator Retail Bonus is avg. $5 per 50 PSV up to $35. Actual could be more or less pending autoships.  Customers spending more than 350 PSV would most likely become a distributor.   DOES NOT INCLUDE ANY LADDER BONUSES, BACK-END BONUS POOLS, or the *$2,000 First Year Customer Bonus. Refer to Limitless Demonstrator for duplication beyond personally enrolled Xecutives.</t>
  </si>
  <si>
    <t>LL-20170512-1</t>
  </si>
  <si>
    <t>Personal Volume</t>
  </si>
  <si>
    <t>Customer Volume</t>
  </si>
  <si>
    <t>Number Customers</t>
  </si>
  <si>
    <t>Total PSV</t>
  </si>
  <si>
    <t>Portal 50</t>
  </si>
  <si>
    <t>Customer Core Volume</t>
  </si>
  <si>
    <t>Front Xec Core</t>
  </si>
  <si>
    <t>Total Xec Customer Core (L2)</t>
  </si>
  <si>
    <t>Personal Spillover Volume</t>
  </si>
  <si>
    <t>Portal 300</t>
  </si>
  <si>
    <t xml:space="preserve">Limitless Customer XQV </t>
  </si>
  <si>
    <t>Retail VLOOKUP Table</t>
  </si>
  <si>
    <t>Average Retail per Customer</t>
  </si>
  <si>
    <t>Core Commissions L1</t>
  </si>
  <si>
    <t>Core Commmission L2</t>
  </si>
  <si>
    <t>CAB Bonus</t>
  </si>
  <si>
    <t>CAB Bonus Xecs</t>
  </si>
  <si>
    <t>Estimated Retail</t>
  </si>
  <si>
    <t xml:space="preserve"> Total Core and Retail</t>
  </si>
  <si>
    <t>P/E Xecs</t>
  </si>
  <si>
    <t>Xec  XQV</t>
  </si>
  <si>
    <t>XGV</t>
  </si>
  <si>
    <t>X3 XQV Pay (10%)</t>
  </si>
  <si>
    <t>XGV Pay (.10)</t>
  </si>
  <si>
    <t>Total Additional Pay</t>
  </si>
  <si>
    <t>Total ESTIMATED INCOME</t>
  </si>
  <si>
    <t>With these parameters, you need this many customers to be an Xec:</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</si>
</sst>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quot;#,##0"/>
    <numFmt numFmtId="175" formatCode="&quot;$&quot;#,##0.0_);\(&quot;$&quot;#,##0.0\)"/>
    <numFmt numFmtId="176" formatCode="&quot;$&quot;#,##0.00"/>
    <numFmt numFmtId="177" formatCode="&quot;$&quot;#,##0.0"/>
    <numFmt numFmtId="178" formatCode="m/d/yyyy"/>
    <numFmt numFmtId="179" formatCode="0.0%"/>
    <numFmt numFmtId="180" formatCode="_(* #,##0.0_);_(* \(#,##0.0\);_(* &quot;-&quot;??_);_(@_)"/>
    <numFmt numFmtId="181" formatCode="_(* #,##0_);_(* \(#,##0\);_(* &quot;-&quot;??_);_(@_)"/>
    <numFmt numFmtId="182" formatCode="_-&quot;$&quot;* #,##0.0_-;\-&quot;$&quot;* #,##0.0_-;_-&quot;$&quot;* &quot;-&quot;??_-;_-@_-"/>
    <numFmt numFmtId="183" formatCode="_-&quot;$&quot;* #,##0_-;\-&quot;$&quot;* #,##0_-;_-&quot;$&quot;* &quot;-&quot;??_-;_-@_-"/>
    <numFmt numFmtId="184" formatCode="0.0"/>
    <numFmt numFmtId="185" formatCode="&quot;$&quot;#,##0.00;[Red]&quot;$&quot;#,##0.00"/>
    <numFmt numFmtId="186" formatCode="&quot;$&quot;#,##0.0;[Red]&quot;$&quot;#,##0.0"/>
    <numFmt numFmtId="187" formatCode="&quot;$&quot;#,##0;[Red]&quot;$&quot;#,##0"/>
  </numFmts>
  <fonts count="77">
    <font>
      <sz val="10"/>
      <name val="Arial"/>
      <family val="0"/>
    </font>
    <font>
      <u val="single"/>
      <sz val="10"/>
      <color indexed="12"/>
      <name val="Arial"/>
      <family val="0"/>
    </font>
    <font>
      <u val="single"/>
      <sz val="10"/>
      <color indexed="36"/>
      <name val="Arial"/>
      <family val="0"/>
    </font>
    <font>
      <sz val="8"/>
      <name val="Verdana"/>
      <family val="2"/>
    </font>
    <font>
      <sz val="9"/>
      <color indexed="10"/>
      <name val="Arial"/>
      <family val="0"/>
    </font>
    <font>
      <b/>
      <sz val="9"/>
      <color indexed="10"/>
      <name val="Arial"/>
      <family val="0"/>
    </font>
    <font>
      <sz val="9"/>
      <name val="Arial"/>
      <family val="0"/>
    </font>
    <font>
      <sz val="8"/>
      <name val="Arial"/>
      <family val="0"/>
    </font>
    <font>
      <b/>
      <sz val="10"/>
      <name val="Arial"/>
      <family val="2"/>
    </font>
    <font>
      <sz val="6"/>
      <name val="Arial"/>
      <family val="0"/>
    </font>
    <font>
      <sz val="12"/>
      <name val="Arial"/>
      <family val="0"/>
    </font>
    <font>
      <sz val="14"/>
      <name val="Arial"/>
      <family val="2"/>
    </font>
    <font>
      <sz val="28"/>
      <name val="Arial"/>
      <family val="0"/>
    </font>
    <font>
      <b/>
      <sz val="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color indexed="10"/>
      <name val="Arial"/>
      <family val="0"/>
    </font>
    <font>
      <sz val="16"/>
      <color indexed="53"/>
      <name val="Arial"/>
      <family val="0"/>
    </font>
    <font>
      <b/>
      <sz val="9"/>
      <color indexed="17"/>
      <name val="Arial"/>
      <family val="0"/>
    </font>
    <font>
      <sz val="12"/>
      <color indexed="17"/>
      <name val="Arial"/>
      <family val="0"/>
    </font>
    <font>
      <sz val="18"/>
      <color indexed="19"/>
      <name val="Arial"/>
      <family val="0"/>
    </font>
    <font>
      <b/>
      <sz val="22"/>
      <color indexed="17"/>
      <name val="Arial"/>
      <family val="0"/>
    </font>
    <font>
      <sz val="12"/>
      <color indexed="8"/>
      <name val="GalaxiePolaris-Medium"/>
      <family val="0"/>
    </font>
    <font>
      <sz val="18"/>
      <color indexed="8"/>
      <name val="GalaxiePolaris-Medium"/>
      <family val="0"/>
    </font>
    <font>
      <sz val="12"/>
      <color indexed="10"/>
      <name val="GalaxiePolaris-Medium"/>
      <family val="0"/>
    </font>
    <font>
      <sz val="12"/>
      <color indexed="53"/>
      <name val="GalaxiePolaris-Medium"/>
      <family val="0"/>
    </font>
    <font>
      <sz val="12"/>
      <color indexed="53"/>
      <name val="Calibri"/>
      <family val="0"/>
    </font>
    <font>
      <sz val="12"/>
      <color indexed="8"/>
      <name val="GalaxiePolaris-Book"/>
      <family val="0"/>
    </font>
    <font>
      <b/>
      <sz val="8"/>
      <color indexed="17"/>
      <name val="Arial"/>
      <family val="0"/>
    </font>
    <font>
      <sz val="8"/>
      <color indexed="8"/>
      <name val="GalaxiePolaris-Book"/>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0000"/>
      <name val="Arial"/>
      <family val="0"/>
    </font>
    <font>
      <sz val="8"/>
      <color rgb="FFFF0000"/>
      <name val="Arial"/>
      <family val="0"/>
    </font>
    <font>
      <sz val="16"/>
      <color rgb="FFFF6600"/>
      <name val="Arial"/>
      <family val="0"/>
    </font>
    <font>
      <sz val="18"/>
      <color theme="2" tint="-0.4999699890613556"/>
      <name val="Arial"/>
      <family val="0"/>
    </font>
    <font>
      <b/>
      <sz val="9"/>
      <color rgb="FF008000"/>
      <name val="Arial"/>
      <family val="0"/>
    </font>
    <font>
      <b/>
      <sz val="22"/>
      <color rgb="FF008000"/>
      <name val="Arial"/>
      <family val="0"/>
    </font>
    <font>
      <sz val="12"/>
      <color rgb="FF008000"/>
      <name val="Arial"/>
      <family val="0"/>
    </font>
    <font>
      <sz val="12"/>
      <color theme="1"/>
      <name val="GalaxiePolaris-Medium"/>
      <family val="0"/>
    </font>
    <font>
      <sz val="18"/>
      <color theme="1"/>
      <name val="GalaxiePolaris-Medium"/>
      <family val="0"/>
    </font>
    <font>
      <sz val="12"/>
      <color rgb="FFFF0000"/>
      <name val="GalaxiePolaris-Medium"/>
      <family val="0"/>
    </font>
    <font>
      <sz val="12"/>
      <color theme="9" tint="-0.24997000396251678"/>
      <name val="GalaxiePolaris-Medium"/>
      <family val="0"/>
    </font>
    <font>
      <sz val="12"/>
      <color theme="9" tint="-0.24997000396251678"/>
      <name val="Calibri"/>
      <family val="0"/>
    </font>
    <font>
      <sz val="12"/>
      <color theme="1"/>
      <name val="GalaxiePolaris-Book"/>
      <family val="0"/>
    </font>
    <font>
      <b/>
      <sz val="8"/>
      <color rgb="FF008000"/>
      <name val="Arial"/>
      <family val="0"/>
    </font>
    <font>
      <sz val="8"/>
      <color theme="1"/>
      <name val="GalaxiePolaris-Book"/>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rgb="FFC9FFA1"/>
        <bgColor indexed="64"/>
      </patternFill>
    </fill>
    <fill>
      <patternFill patternType="solid">
        <fgColor theme="1" tint="0.34999001026153564"/>
        <bgColor indexed="64"/>
      </patternFill>
    </fill>
    <fill>
      <patternFill patternType="solid">
        <fgColor rgb="FFE7FFAB"/>
        <bgColor indexed="64"/>
      </patternFill>
    </fill>
    <fill>
      <patternFill patternType="solid">
        <fgColor rgb="FFC9FFA1"/>
        <bgColor indexed="64"/>
      </patternFill>
    </fill>
    <fill>
      <patternFill patternType="solid">
        <fgColor rgb="FFFFFE94"/>
        <bgColor indexed="64"/>
      </patternFill>
    </fill>
    <fill>
      <patternFill patternType="solid">
        <fgColor rgb="FFFFFAB9"/>
        <bgColor indexed="64"/>
      </patternFill>
    </fill>
    <fill>
      <patternFill patternType="solid">
        <fgColor rgb="FFFFF480"/>
        <bgColor indexed="64"/>
      </patternFill>
    </fill>
    <fill>
      <patternFill patternType="solid">
        <fgColor rgb="FFFFFAB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style="thick">
        <color theme="0" tint="-0.4999699890613556"/>
      </left>
      <right style="thick">
        <color theme="0" tint="-0.4999699890613556"/>
      </right>
      <top style="thick">
        <color theme="0" tint="-0.4999699890613556"/>
      </top>
      <bottom style="thick">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color theme="0" tint="-0.4999699890613556"/>
      </left>
      <right>
        <color indexed="63"/>
      </right>
      <top style="thick">
        <color theme="0" tint="-0.4999699890613556"/>
      </top>
      <bottom style="thick">
        <color theme="0" tint="-0.4999699890613556"/>
      </bottom>
    </border>
    <border>
      <left>
        <color indexed="63"/>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color indexed="63"/>
      </top>
      <bottom>
        <color indexed="63"/>
      </bottom>
    </border>
    <border>
      <left>
        <color indexed="63"/>
      </left>
      <right>
        <color indexed="63"/>
      </right>
      <top style="thick">
        <color theme="0" tint="-0.4999699890613556"/>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Alignment="1">
      <alignment/>
    </xf>
    <xf numFmtId="0" fontId="0" fillId="33" borderId="0" xfId="0" applyFill="1" applyAlignment="1" applyProtection="1">
      <alignment horizontal="center"/>
      <protection locked="0"/>
    </xf>
    <xf numFmtId="0" fontId="0" fillId="33" borderId="0" xfId="0" applyNumberFormat="1" applyFill="1" applyAlignment="1" applyProtection="1">
      <alignment horizontal="center"/>
      <protection locked="0"/>
    </xf>
    <xf numFmtId="0" fontId="0" fillId="0" borderId="0" xfId="0" applyAlignment="1" applyProtection="1">
      <alignment/>
      <protection/>
    </xf>
    <xf numFmtId="0" fontId="0" fillId="33" borderId="0" xfId="0" applyFill="1" applyAlignment="1" applyProtection="1">
      <alignment horizontal="center"/>
      <protection locked="0"/>
    </xf>
    <xf numFmtId="0" fontId="0" fillId="0" borderId="0" xfId="0"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protection hidden="1"/>
    </xf>
    <xf numFmtId="0" fontId="0" fillId="0" borderId="0" xfId="0" applyFill="1" applyAlignment="1" applyProtection="1">
      <alignment horizontal="center"/>
      <protection hidden="1"/>
    </xf>
    <xf numFmtId="9" fontId="0" fillId="0" borderId="0" xfId="60" applyFont="1" applyAlignment="1" applyProtection="1">
      <alignment horizontal="center"/>
      <protection hidden="1"/>
    </xf>
    <xf numFmtId="174" fontId="0" fillId="0" borderId="0" xfId="0" applyNumberFormat="1" applyAlignment="1" applyProtection="1">
      <alignment horizontal="right"/>
      <protection hidden="1"/>
    </xf>
    <xf numFmtId="9" fontId="0" fillId="0" borderId="0" xfId="0" applyNumberFormat="1" applyAlignment="1" applyProtection="1">
      <alignment horizontal="center"/>
      <protection hidden="1"/>
    </xf>
    <xf numFmtId="174" fontId="0" fillId="0" borderId="0" xfId="0" applyNumberFormat="1" applyAlignment="1" applyProtection="1">
      <alignment/>
      <protection hidden="1"/>
    </xf>
    <xf numFmtId="0" fontId="0" fillId="0" borderId="0" xfId="0" applyNumberFormat="1" applyAlignment="1" applyProtection="1">
      <alignment horizontal="center"/>
      <protection hidden="1"/>
    </xf>
    <xf numFmtId="174" fontId="0" fillId="34" borderId="0" xfId="0" applyNumberFormat="1" applyFill="1" applyAlignment="1" applyProtection="1">
      <alignment/>
      <protection hidden="1"/>
    </xf>
    <xf numFmtId="174" fontId="0" fillId="0" borderId="0" xfId="0" applyNumberFormat="1" applyFill="1" applyAlignment="1" applyProtection="1">
      <alignment/>
      <protection hidden="1"/>
    </xf>
    <xf numFmtId="0" fontId="6" fillId="0" borderId="0" xfId="0" applyFont="1" applyAlignment="1" applyProtection="1">
      <alignment/>
      <protection hidden="1"/>
    </xf>
    <xf numFmtId="181" fontId="0" fillId="7" borderId="0" xfId="42" applyNumberFormat="1" applyFont="1" applyFill="1" applyAlignment="1" applyProtection="1">
      <alignment horizontal="center"/>
      <protection hidden="1"/>
    </xf>
    <xf numFmtId="0" fontId="0" fillId="2" borderId="0" xfId="0" applyFill="1" applyAlignment="1" applyProtection="1">
      <alignment horizontal="right"/>
      <protection hidden="1"/>
    </xf>
    <xf numFmtId="174" fontId="0" fillId="2" borderId="0" xfId="0" applyNumberFormat="1" applyFill="1" applyAlignment="1" applyProtection="1">
      <alignment/>
      <protection hidden="1"/>
    </xf>
    <xf numFmtId="3" fontId="7" fillId="0" borderId="0" xfId="0" applyNumberFormat="1" applyFont="1" applyAlignment="1" applyProtection="1" quotePrefix="1">
      <alignment horizontal="center"/>
      <protection hidden="1"/>
    </xf>
    <xf numFmtId="174" fontId="0" fillId="34" borderId="0" xfId="0" applyNumberFormat="1" applyFill="1" applyAlignment="1" applyProtection="1">
      <alignment horizontal="center"/>
      <protection hidden="1"/>
    </xf>
    <xf numFmtId="0" fontId="9" fillId="0" borderId="0" xfId="0" applyFont="1" applyAlignment="1" applyProtection="1" quotePrefix="1">
      <alignment horizontal="right"/>
      <protection hidden="1"/>
    </xf>
    <xf numFmtId="0" fontId="9" fillId="0" borderId="0" xfId="0" applyFont="1" applyAlignment="1" applyProtection="1">
      <alignment horizontal="right"/>
      <protection hidden="1"/>
    </xf>
    <xf numFmtId="9" fontId="62" fillId="0" borderId="0" xfId="0" applyNumberFormat="1" applyFont="1" applyAlignment="1" applyProtection="1">
      <alignment horizontal="center"/>
      <protection hidden="1"/>
    </xf>
    <xf numFmtId="0" fontId="0" fillId="0" borderId="0" xfId="0" applyFont="1" applyAlignment="1" applyProtection="1">
      <alignment horizontal="center" vertical="center" wrapText="1" shrinkToFit="1"/>
      <protection hidden="1"/>
    </xf>
    <xf numFmtId="9" fontId="0" fillId="33" borderId="10" xfId="60" applyFont="1" applyFill="1" applyBorder="1" applyAlignment="1" applyProtection="1">
      <alignment/>
      <protection locked="0"/>
    </xf>
    <xf numFmtId="174" fontId="0" fillId="34" borderId="11" xfId="0" applyNumberFormat="1" applyFill="1" applyBorder="1" applyAlignment="1" applyProtection="1">
      <alignment/>
      <protection hidden="1"/>
    </xf>
    <xf numFmtId="9" fontId="63" fillId="0" borderId="0" xfId="0" applyNumberFormat="1" applyFont="1" applyAlignment="1" applyProtection="1">
      <alignment horizontal="center"/>
      <protection hidden="1"/>
    </xf>
    <xf numFmtId="0" fontId="64" fillId="0" borderId="0" xfId="0" applyFont="1" applyAlignment="1" applyProtection="1">
      <alignment horizontal="center"/>
      <protection hidden="1"/>
    </xf>
    <xf numFmtId="0" fontId="0" fillId="34" borderId="0" xfId="0" applyFill="1" applyAlignment="1" applyProtection="1">
      <alignment horizontal="center"/>
      <protection hidden="1" locked="0"/>
    </xf>
    <xf numFmtId="0" fontId="0" fillId="0" borderId="0" xfId="0" applyFont="1" applyAlignment="1" applyProtection="1">
      <alignment/>
      <protection hidden="1"/>
    </xf>
    <xf numFmtId="174" fontId="0" fillId="0" borderId="0" xfId="0" applyNumberFormat="1" applyAlignment="1" applyProtection="1">
      <alignment/>
      <protection hidden="1"/>
    </xf>
    <xf numFmtId="0" fontId="6" fillId="35" borderId="0" xfId="0" applyFont="1" applyFill="1" applyAlignment="1" applyProtection="1" quotePrefix="1">
      <alignment horizontal="right"/>
      <protection hidden="1"/>
    </xf>
    <xf numFmtId="0" fontId="12" fillId="34" borderId="12" xfId="0" applyFont="1" applyFill="1" applyBorder="1" applyAlignment="1" applyProtection="1">
      <alignment horizontal="center" vertical="center"/>
      <protection locked="0"/>
    </xf>
    <xf numFmtId="0" fontId="0" fillId="36" borderId="0" xfId="0" applyFill="1" applyAlignment="1" applyProtection="1">
      <alignment/>
      <protection hidden="1"/>
    </xf>
    <xf numFmtId="0" fontId="10" fillId="36" borderId="0" xfId="0" applyFont="1" applyFill="1" applyAlignment="1" applyProtection="1">
      <alignment/>
      <protection hidden="1"/>
    </xf>
    <xf numFmtId="0" fontId="0" fillId="35" borderId="0" xfId="0" applyFill="1" applyAlignment="1" applyProtection="1">
      <alignment/>
      <protection hidden="1"/>
    </xf>
    <xf numFmtId="0" fontId="10" fillId="35" borderId="0" xfId="0" applyFont="1" applyFill="1" applyAlignment="1" applyProtection="1">
      <alignment/>
      <protection hidden="1"/>
    </xf>
    <xf numFmtId="0" fontId="10" fillId="35" borderId="0" xfId="0" applyFont="1" applyFill="1" applyAlignment="1" applyProtection="1">
      <alignment wrapText="1"/>
      <protection hidden="1"/>
    </xf>
    <xf numFmtId="0" fontId="10" fillId="35" borderId="0" xfId="0" applyFont="1" applyFill="1" applyAlignment="1" applyProtection="1">
      <alignment vertical="center" wrapText="1"/>
      <protection hidden="1"/>
    </xf>
    <xf numFmtId="0" fontId="65" fillId="35" borderId="0" xfId="0" applyFont="1" applyFill="1" applyAlignment="1" applyProtection="1">
      <alignment/>
      <protection hidden="1"/>
    </xf>
    <xf numFmtId="0" fontId="6" fillId="35" borderId="0" xfId="0" applyFont="1" applyFill="1" applyAlignment="1" applyProtection="1">
      <alignment/>
      <protection hidden="1"/>
    </xf>
    <xf numFmtId="0" fontId="10" fillId="0" borderId="0" xfId="0" applyFont="1" applyAlignment="1" applyProtection="1">
      <alignment/>
      <protection hidden="1"/>
    </xf>
    <xf numFmtId="0" fontId="12" fillId="37" borderId="12" xfId="0" applyFont="1" applyFill="1" applyBorder="1" applyAlignment="1" applyProtection="1">
      <alignment horizontal="center" vertical="center"/>
      <protection locked="0"/>
    </xf>
    <xf numFmtId="9" fontId="13" fillId="37" borderId="13" xfId="60" applyFont="1" applyFill="1" applyBorder="1" applyAlignment="1" applyProtection="1">
      <alignment horizontal="center"/>
      <protection locked="0"/>
    </xf>
    <xf numFmtId="0" fontId="62" fillId="0" borderId="0" xfId="0" applyFont="1" applyAlignment="1" applyProtection="1">
      <alignment horizontal="center" wrapText="1"/>
      <protection hidden="1"/>
    </xf>
    <xf numFmtId="0" fontId="0" fillId="0" borderId="14" xfId="0" applyFont="1" applyBorder="1" applyAlignment="1" applyProtection="1">
      <alignment horizontal="center" vertical="center" wrapText="1" shrinkToFit="1"/>
      <protection hidden="1"/>
    </xf>
    <xf numFmtId="0" fontId="0" fillId="0" borderId="15" xfId="0" applyFont="1" applyBorder="1" applyAlignment="1" applyProtection="1">
      <alignment horizontal="center" vertical="center" wrapText="1" shrinkToFit="1"/>
      <protection hidden="1"/>
    </xf>
    <xf numFmtId="0" fontId="0" fillId="0" borderId="16" xfId="0" applyFont="1" applyBorder="1" applyAlignment="1" applyProtection="1">
      <alignment horizontal="center" vertical="center" wrapText="1" shrinkToFit="1"/>
      <protection hidden="1"/>
    </xf>
    <xf numFmtId="0" fontId="0" fillId="0" borderId="17" xfId="0" applyFont="1" applyBorder="1" applyAlignment="1" applyProtection="1">
      <alignment horizontal="center" vertical="center" wrapText="1" shrinkToFit="1"/>
      <protection hidden="1"/>
    </xf>
    <xf numFmtId="0" fontId="66" fillId="38" borderId="18" xfId="0" applyFont="1" applyFill="1" applyBorder="1" applyAlignment="1" applyProtection="1">
      <alignment horizontal="center" vertical="center" wrapText="1" shrinkToFit="1"/>
      <protection hidden="1"/>
    </xf>
    <xf numFmtId="0" fontId="66" fillId="38" borderId="19" xfId="0" applyFont="1" applyFill="1" applyBorder="1" applyAlignment="1" applyProtection="1">
      <alignment horizontal="center" vertical="center" wrapText="1" shrinkToFit="1"/>
      <protection hidden="1"/>
    </xf>
    <xf numFmtId="0" fontId="66" fillId="38" borderId="20" xfId="0" applyFont="1" applyFill="1" applyBorder="1" applyAlignment="1" applyProtection="1">
      <alignment horizontal="center" vertical="center" wrapText="1" shrinkToFit="1"/>
      <protection hidden="1"/>
    </xf>
    <xf numFmtId="187" fontId="67" fillId="39" borderId="21" xfId="0" applyNumberFormat="1" applyFont="1" applyFill="1" applyBorder="1" applyAlignment="1" applyProtection="1">
      <alignment horizontal="center" vertical="center"/>
      <protection hidden="1"/>
    </xf>
    <xf numFmtId="187" fontId="67" fillId="39" borderId="22" xfId="0" applyNumberFormat="1" applyFont="1" applyFill="1" applyBorder="1" applyAlignment="1" applyProtection="1">
      <alignment horizontal="center" vertical="center"/>
      <protection hidden="1"/>
    </xf>
    <xf numFmtId="187" fontId="11" fillId="35" borderId="0" xfId="0" applyNumberFormat="1" applyFont="1" applyFill="1" applyAlignment="1" applyProtection="1">
      <alignment horizontal="center"/>
      <protection hidden="1"/>
    </xf>
    <xf numFmtId="0" fontId="68" fillId="35" borderId="23" xfId="0" applyFont="1" applyFill="1" applyBorder="1" applyAlignment="1" applyProtection="1">
      <alignment horizontal="center" vertical="center" wrapText="1"/>
      <protection hidden="1"/>
    </xf>
    <xf numFmtId="0" fontId="68"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wrapText="1"/>
      <protection hidden="1"/>
    </xf>
    <xf numFmtId="0" fontId="68" fillId="35" borderId="23" xfId="0" applyNumberFormat="1" applyFont="1" applyFill="1" applyBorder="1" applyAlignment="1" applyProtection="1">
      <alignment horizontal="center" vertical="center" wrapText="1"/>
      <protection hidden="1"/>
    </xf>
    <xf numFmtId="0" fontId="68" fillId="35" borderId="0" xfId="0" applyNumberFormat="1" applyFont="1" applyFill="1" applyAlignment="1" applyProtection="1">
      <alignment horizontal="center" vertical="center" wrapText="1"/>
      <protection hidden="1"/>
    </xf>
    <xf numFmtId="0" fontId="0" fillId="35" borderId="24" xfId="0" applyFill="1" applyBorder="1" applyAlignment="1" applyProtection="1">
      <alignment horizontal="center"/>
      <protection hidden="1"/>
    </xf>
    <xf numFmtId="0" fontId="45" fillId="36" borderId="0" xfId="57" applyFill="1" applyProtection="1">
      <alignment/>
      <protection hidden="1"/>
    </xf>
    <xf numFmtId="0" fontId="45" fillId="0" borderId="0" xfId="57">
      <alignment/>
      <protection/>
    </xf>
    <xf numFmtId="0" fontId="45" fillId="40" borderId="0" xfId="57" applyFill="1" applyProtection="1">
      <alignment/>
      <protection hidden="1"/>
    </xf>
    <xf numFmtId="0" fontId="69" fillId="40" borderId="0" xfId="57" applyFont="1" applyFill="1" applyAlignment="1" applyProtection="1">
      <alignment horizontal="left" vertical="center" wrapText="1"/>
      <protection hidden="1"/>
    </xf>
    <xf numFmtId="0" fontId="70" fillId="34" borderId="25" xfId="57" applyFont="1" applyFill="1" applyBorder="1" applyAlignment="1" applyProtection="1">
      <alignment horizontal="center" vertical="center"/>
      <protection locked="0"/>
    </xf>
    <xf numFmtId="0" fontId="71" fillId="40" borderId="26" xfId="57" applyFont="1" applyFill="1" applyBorder="1" applyAlignment="1" applyProtection="1">
      <alignment horizontal="center" vertical="center" wrapText="1"/>
      <protection hidden="1"/>
    </xf>
    <xf numFmtId="0" fontId="71" fillId="40" borderId="0" xfId="57" applyFont="1" applyFill="1" applyAlignment="1" applyProtection="1">
      <alignment horizontal="center" vertical="center" wrapText="1"/>
      <protection hidden="1"/>
    </xf>
    <xf numFmtId="0" fontId="71" fillId="40" borderId="26" xfId="57" applyFont="1" applyFill="1" applyBorder="1" applyAlignment="1" applyProtection="1">
      <alignment horizontal="center" wrapText="1"/>
      <protection hidden="1"/>
    </xf>
    <xf numFmtId="0" fontId="71" fillId="40" borderId="0" xfId="57" applyFont="1" applyFill="1" applyAlignment="1" applyProtection="1">
      <alignment horizontal="center" wrapText="1"/>
      <protection hidden="1"/>
    </xf>
    <xf numFmtId="0" fontId="69" fillId="40" borderId="0" xfId="57" applyFont="1" applyFill="1" applyAlignment="1" applyProtection="1">
      <alignment horizontal="center" vertical="center"/>
      <protection hidden="1"/>
    </xf>
    <xf numFmtId="0" fontId="70" fillId="40" borderId="0" xfId="57" applyFont="1" applyFill="1" applyAlignment="1" applyProtection="1">
      <alignment horizontal="center" vertical="center"/>
      <protection hidden="1"/>
    </xf>
    <xf numFmtId="0" fontId="45" fillId="40" borderId="0" xfId="57" applyFill="1" applyAlignment="1" applyProtection="1">
      <alignment horizontal="center"/>
      <protection hidden="1"/>
    </xf>
    <xf numFmtId="0" fontId="72" fillId="40" borderId="26" xfId="57" applyFont="1" applyFill="1" applyBorder="1" applyAlignment="1" applyProtection="1">
      <alignment horizontal="center" vertical="center" wrapText="1"/>
      <protection hidden="1"/>
    </xf>
    <xf numFmtId="0" fontId="72" fillId="40" borderId="0" xfId="57" applyFont="1" applyFill="1" applyAlignment="1" applyProtection="1">
      <alignment horizontal="center" vertical="center" wrapText="1"/>
      <protection hidden="1"/>
    </xf>
    <xf numFmtId="0" fontId="73" fillId="40" borderId="0" xfId="57" applyFont="1" applyFill="1" applyProtection="1">
      <alignment/>
      <protection hidden="1"/>
    </xf>
    <xf numFmtId="0" fontId="74" fillId="40" borderId="0" xfId="57" applyFont="1" applyFill="1" applyProtection="1">
      <alignment/>
      <protection hidden="1"/>
    </xf>
    <xf numFmtId="0" fontId="70" fillId="7" borderId="25" xfId="57" applyFont="1" applyFill="1" applyBorder="1" applyAlignment="1" applyProtection="1">
      <alignment horizontal="center" vertical="center"/>
      <protection locked="0"/>
    </xf>
    <xf numFmtId="0" fontId="72" fillId="40" borderId="0" xfId="57" applyFont="1" applyFill="1" applyAlignment="1" applyProtection="1">
      <alignment horizontal="center" wrapText="1"/>
      <protection hidden="1"/>
    </xf>
    <xf numFmtId="0" fontId="69" fillId="40" borderId="0" xfId="57" applyFont="1" applyFill="1" applyAlignment="1" applyProtection="1">
      <alignment vertical="center"/>
      <protection hidden="1"/>
    </xf>
    <xf numFmtId="185" fontId="70" fillId="41" borderId="27" xfId="57" applyNumberFormat="1" applyFont="1" applyFill="1" applyBorder="1" applyAlignment="1" applyProtection="1">
      <alignment horizontal="center" vertical="center"/>
      <protection hidden="1"/>
    </xf>
    <xf numFmtId="185" fontId="70" fillId="41" borderId="28" xfId="57" applyNumberFormat="1" applyFont="1" applyFill="1" applyBorder="1" applyAlignment="1" applyProtection="1">
      <alignment horizontal="center" vertical="center"/>
      <protection hidden="1"/>
    </xf>
    <xf numFmtId="0" fontId="75" fillId="42" borderId="18" xfId="57" applyFont="1" applyFill="1" applyBorder="1" applyAlignment="1" applyProtection="1">
      <alignment horizontal="center" vertical="center" wrapText="1" shrinkToFit="1"/>
      <protection hidden="1"/>
    </xf>
    <xf numFmtId="0" fontId="75" fillId="42" borderId="19" xfId="57" applyFont="1" applyFill="1" applyBorder="1" applyAlignment="1" applyProtection="1">
      <alignment horizontal="center" vertical="center" wrapText="1" shrinkToFit="1"/>
      <protection hidden="1"/>
    </xf>
    <xf numFmtId="0" fontId="75" fillId="42" borderId="20" xfId="57" applyFont="1" applyFill="1" applyBorder="1" applyAlignment="1" applyProtection="1">
      <alignment horizontal="center" vertical="center" wrapText="1" shrinkToFit="1"/>
      <protection hidden="1"/>
    </xf>
    <xf numFmtId="0" fontId="76" fillId="40" borderId="0" xfId="57" applyFont="1" applyFill="1" applyAlignment="1" applyProtection="1">
      <alignment horizontal="right"/>
      <protection hidden="1"/>
    </xf>
    <xf numFmtId="0" fontId="45" fillId="0" borderId="0" xfId="57" applyProtection="1">
      <alignment/>
      <protection hidden="1"/>
    </xf>
    <xf numFmtId="2" fontId="45" fillId="0" borderId="0" xfId="57" applyNumberFormat="1" applyProtection="1">
      <alignmen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1476375</xdr:colOff>
      <xdr:row>0</xdr:row>
      <xdr:rowOff>76200</xdr:rowOff>
    </xdr:from>
    <xdr:to>
      <xdr:col>3</xdr:col>
      <xdr:colOff>600075</xdr:colOff>
      <xdr:row>3</xdr:row>
      <xdr:rowOff>142875</xdr:rowOff>
    </xdr:to>
    <xdr:pic>
      <xdr:nvPicPr>
        <xdr:cNvPr id="1" name="Picture 2" descr="LL-new-White-WorldWide-logo.png"/>
        <xdr:cNvPicPr preferRelativeResize="1">
          <a:picLocks noChangeAspect="1"/>
        </xdr:cNvPicPr>
      </xdr:nvPicPr>
      <xdr:blipFill>
        <a:blip r:embed="rId1"/>
        <a:srcRect t="15074" b="26458"/>
        <a:stretch>
          <a:fillRect/>
        </a:stretch>
      </xdr:blipFill>
      <xdr:spPr>
        <a:xfrm>
          <a:off x="2200275" y="76200"/>
          <a:ext cx="33432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0</xdr:row>
      <xdr:rowOff>76200</xdr:rowOff>
    </xdr:from>
    <xdr:to>
      <xdr:col>4</xdr:col>
      <xdr:colOff>352425</xdr:colOff>
      <xdr:row>3</xdr:row>
      <xdr:rowOff>161925</xdr:rowOff>
    </xdr:to>
    <xdr:pic>
      <xdr:nvPicPr>
        <xdr:cNvPr id="1" name="Picture 2" descr="LL-new-White-WorldWide-logo.png"/>
        <xdr:cNvPicPr preferRelativeResize="1">
          <a:picLocks noChangeAspect="1"/>
        </xdr:cNvPicPr>
      </xdr:nvPicPr>
      <xdr:blipFill>
        <a:blip r:embed="rId1"/>
        <a:srcRect t="15074" b="26458"/>
        <a:stretch>
          <a:fillRect/>
        </a:stretch>
      </xdr:blipFill>
      <xdr:spPr>
        <a:xfrm>
          <a:off x="1733550" y="76200"/>
          <a:ext cx="3343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200" zoomScaleNormal="200" workbookViewId="0" topLeftCell="A1">
      <selection activeCell="I21" sqref="I21"/>
    </sheetView>
  </sheetViews>
  <sheetFormatPr defaultColWidth="11.421875" defaultRowHeight="12.75"/>
  <cols>
    <col min="1" max="1" width="8.421875" style="0" customWidth="1"/>
    <col min="2" max="2" width="11.8515625" style="0" customWidth="1"/>
    <col min="3" max="4" width="9.7109375" style="0" customWidth="1"/>
    <col min="5" max="5" width="9.140625" style="0" customWidth="1"/>
    <col min="6" max="6" width="12.00390625" style="0" customWidth="1"/>
    <col min="7" max="7" width="10.8515625" style="0" customWidth="1"/>
    <col min="8" max="8" width="7.140625" style="0" customWidth="1"/>
    <col min="9" max="9" width="12.00390625" style="0" customWidth="1"/>
    <col min="10" max="10" width="13.00390625" style="0" customWidth="1"/>
    <col min="11" max="11" width="4.421875" style="0" customWidth="1"/>
  </cols>
  <sheetData>
    <row r="1" spans="1:10" ht="12">
      <c r="A1" s="6" t="s">
        <v>34</v>
      </c>
      <c r="B1" s="7"/>
      <c r="C1" s="7"/>
      <c r="D1" s="7"/>
      <c r="E1" s="7"/>
      <c r="F1" s="7"/>
      <c r="G1" s="5" t="s">
        <v>18</v>
      </c>
      <c r="H1" s="7"/>
      <c r="I1" s="7"/>
      <c r="J1" s="5" t="s">
        <v>30</v>
      </c>
    </row>
    <row r="2" spans="1:10" ht="12">
      <c r="A2" s="7"/>
      <c r="B2" s="7"/>
      <c r="C2" s="7"/>
      <c r="D2" s="5" t="s">
        <v>23</v>
      </c>
      <c r="E2" s="5" t="s">
        <v>26</v>
      </c>
      <c r="F2" s="5" t="s">
        <v>14</v>
      </c>
      <c r="G2" s="5" t="s">
        <v>19</v>
      </c>
      <c r="H2" s="5" t="s">
        <v>49</v>
      </c>
      <c r="I2" s="5"/>
      <c r="J2" s="5" t="s">
        <v>27</v>
      </c>
    </row>
    <row r="3" spans="1:10" ht="12">
      <c r="A3" s="7"/>
      <c r="B3" s="5" t="s">
        <v>7</v>
      </c>
      <c r="C3" s="5" t="s">
        <v>10</v>
      </c>
      <c r="D3" s="5" t="s">
        <v>24</v>
      </c>
      <c r="E3" s="5" t="s">
        <v>23</v>
      </c>
      <c r="F3" s="5" t="s">
        <v>17</v>
      </c>
      <c r="G3" s="1">
        <v>2</v>
      </c>
      <c r="H3" s="5" t="s">
        <v>50</v>
      </c>
      <c r="I3" s="5"/>
      <c r="J3" s="5" t="s">
        <v>28</v>
      </c>
    </row>
    <row r="4" spans="1:10" ht="12.75" customHeight="1">
      <c r="A4" s="7"/>
      <c r="B4" s="5" t="s">
        <v>8</v>
      </c>
      <c r="C4" s="5" t="s">
        <v>11</v>
      </c>
      <c r="D4" s="20" t="str">
        <f>IF(D5=350,("Sampling Pak"),IF(D5=950,("Xec Pak"),IF(D5=1500,("Master Pak"),("Choose Pak"))))</f>
        <v>Choose Pak</v>
      </c>
      <c r="E4" s="5" t="s">
        <v>24</v>
      </c>
      <c r="F4" s="5" t="s">
        <v>16</v>
      </c>
      <c r="G4" s="5" t="s">
        <v>20</v>
      </c>
      <c r="H4" s="5" t="s">
        <v>51</v>
      </c>
      <c r="I4" s="5"/>
      <c r="J4" s="5" t="s">
        <v>13</v>
      </c>
    </row>
    <row r="5" spans="1:10" ht="12">
      <c r="A5" s="7"/>
      <c r="B5" s="5" t="s">
        <v>9</v>
      </c>
      <c r="C5" s="5" t="s">
        <v>12</v>
      </c>
      <c r="D5" s="30">
        <v>399</v>
      </c>
      <c r="E5" s="5" t="s">
        <v>25</v>
      </c>
      <c r="F5" s="5">
        <v>50</v>
      </c>
      <c r="G5" s="8">
        <v>50</v>
      </c>
      <c r="H5" s="5" t="s">
        <v>6</v>
      </c>
      <c r="I5" s="5"/>
      <c r="J5" s="5" t="s">
        <v>12</v>
      </c>
    </row>
    <row r="6" spans="1:10" ht="12">
      <c r="A6" s="7"/>
      <c r="B6" s="5"/>
      <c r="C6" s="5"/>
      <c r="D6" s="5" t="str">
        <f>IF(D5=399,(" "),IF(D5=950,(" "),IF(D5=1500,(" "),("Choose 399, 950, or 1500"))))</f>
        <v> </v>
      </c>
      <c r="G6" s="7"/>
      <c r="H6" s="5"/>
      <c r="I6" s="5"/>
      <c r="J6" s="5"/>
    </row>
    <row r="7" spans="1:10" ht="18">
      <c r="A7" s="7"/>
      <c r="B7" s="5" t="s">
        <v>22</v>
      </c>
      <c r="C7" s="5"/>
      <c r="D7" s="5"/>
      <c r="F7" s="29"/>
      <c r="H7" s="9"/>
      <c r="I7" s="9"/>
      <c r="J7" s="10"/>
    </row>
    <row r="8" spans="1:10" ht="12">
      <c r="A8" s="7" t="s">
        <v>0</v>
      </c>
      <c r="B8" s="2">
        <v>0</v>
      </c>
      <c r="C8" s="5">
        <f>B8</f>
        <v>0</v>
      </c>
      <c r="D8" s="5">
        <f>HLOOKUP($D$5,$B$36:$E$42,2,TRUE)</f>
        <v>125</v>
      </c>
      <c r="E8" s="5">
        <f>C8*D8</f>
        <v>0</v>
      </c>
      <c r="F8" s="7">
        <f aca="true" t="shared" si="0" ref="F8:F13">C8*$F$5</f>
        <v>0</v>
      </c>
      <c r="G8" s="7">
        <f>G3*$G$5</f>
        <v>100</v>
      </c>
      <c r="H8" s="11">
        <v>0.15</v>
      </c>
      <c r="I8" s="11"/>
      <c r="J8" s="10">
        <f aca="true" t="shared" si="1" ref="J8:J13">(F8+G8)*H8</f>
        <v>15</v>
      </c>
    </row>
    <row r="9" spans="1:10" ht="12">
      <c r="A9" s="7" t="s">
        <v>1</v>
      </c>
      <c r="B9" s="1">
        <v>0</v>
      </c>
      <c r="C9" s="5">
        <f>C8*B9</f>
        <v>0</v>
      </c>
      <c r="D9" s="5">
        <f>HLOOKUP($D$5,$B$36:$E$42,3,TRUE)</f>
        <v>25</v>
      </c>
      <c r="E9" s="5">
        <f>C9*D9</f>
        <v>0</v>
      </c>
      <c r="F9" s="7">
        <f t="shared" si="0"/>
        <v>0</v>
      </c>
      <c r="G9" s="7">
        <f>C8*$G$3*$G$5</f>
        <v>0</v>
      </c>
      <c r="H9" s="11">
        <v>0.1</v>
      </c>
      <c r="I9" s="24" t="str">
        <f>IF(J9=0," ",IF($B$8&gt;=2," ","Need 2 Personal"))</f>
        <v> </v>
      </c>
      <c r="J9" s="10">
        <f t="shared" si="1"/>
        <v>0</v>
      </c>
    </row>
    <row r="10" spans="1:10" ht="12">
      <c r="A10" s="7" t="s">
        <v>2</v>
      </c>
      <c r="B10" s="1">
        <v>0</v>
      </c>
      <c r="C10" s="5">
        <f>C9*B10</f>
        <v>0</v>
      </c>
      <c r="D10" s="5"/>
      <c r="E10" s="5"/>
      <c r="F10" s="7">
        <f t="shared" si="0"/>
        <v>0</v>
      </c>
      <c r="G10" s="7">
        <f>C9*$G$3*$G$5</f>
        <v>0</v>
      </c>
      <c r="H10" s="11">
        <v>0.1</v>
      </c>
      <c r="I10" s="24" t="str">
        <f>IF(J10=0," ",IF($B$8&gt;=3," ","Need 3 Personal"))</f>
        <v> </v>
      </c>
      <c r="J10" s="10">
        <f t="shared" si="1"/>
        <v>0</v>
      </c>
    </row>
    <row r="11" spans="1:10" ht="12">
      <c r="A11" s="7" t="s">
        <v>3</v>
      </c>
      <c r="B11" s="1">
        <v>0</v>
      </c>
      <c r="C11" s="5">
        <f>C10*B11</f>
        <v>0</v>
      </c>
      <c r="D11" s="5"/>
      <c r="E11" s="5"/>
      <c r="F11" s="7">
        <f t="shared" si="0"/>
        <v>0</v>
      </c>
      <c r="G11" s="7">
        <f>C10*$G$3*$G$5</f>
        <v>0</v>
      </c>
      <c r="H11" s="11">
        <v>0.05</v>
      </c>
      <c r="I11" s="24" t="str">
        <f>IF(J11=0," ",IF($B$8&gt;=4," ","Need 4 Personal"))</f>
        <v> </v>
      </c>
      <c r="J11" s="10">
        <f t="shared" si="1"/>
        <v>0</v>
      </c>
    </row>
    <row r="12" spans="1:10" ht="12">
      <c r="A12" s="7" t="s">
        <v>4</v>
      </c>
      <c r="B12" s="1">
        <v>0</v>
      </c>
      <c r="C12" s="5">
        <f>C11*B12</f>
        <v>0</v>
      </c>
      <c r="D12" s="5"/>
      <c r="E12" s="5"/>
      <c r="F12" s="7">
        <f t="shared" si="0"/>
        <v>0</v>
      </c>
      <c r="G12" s="7">
        <f>C11*$G$3*$G$5</f>
        <v>0</v>
      </c>
      <c r="H12" s="11">
        <v>0.05</v>
      </c>
      <c r="I12" s="24" t="str">
        <f>IF(J12=0," ",IF($B$8&gt;=5," ","Need 5 Personal"))</f>
        <v> </v>
      </c>
      <c r="J12" s="10">
        <f t="shared" si="1"/>
        <v>0</v>
      </c>
    </row>
    <row r="13" spans="1:10" ht="12">
      <c r="A13" s="7" t="s">
        <v>5</v>
      </c>
      <c r="B13" s="1">
        <v>0</v>
      </c>
      <c r="C13" s="5">
        <f>C12*B13</f>
        <v>0</v>
      </c>
      <c r="D13" s="5"/>
      <c r="E13" s="13"/>
      <c r="F13" s="7">
        <f t="shared" si="0"/>
        <v>0</v>
      </c>
      <c r="G13" s="7">
        <f>C12*$G$3*$G$5</f>
        <v>0</v>
      </c>
      <c r="H13" s="11">
        <v>0.05</v>
      </c>
      <c r="I13" s="28" t="str">
        <f>IF(J13=0," ",IF($B$8&gt;=6," ","Need 6/2 Personal"))</f>
        <v> </v>
      </c>
      <c r="J13" s="10">
        <f t="shared" si="1"/>
        <v>0</v>
      </c>
    </row>
    <row r="14" spans="1:10" ht="12">
      <c r="A14" s="7" t="s">
        <v>29</v>
      </c>
      <c r="B14" s="7"/>
      <c r="C14" s="17">
        <f>SUM(C8:C13)</f>
        <v>0</v>
      </c>
      <c r="D14" s="7"/>
      <c r="E14" s="14">
        <f>IF(D6=" ",(SUM(E8:E13)),("Pak Error"))</f>
        <v>0</v>
      </c>
      <c r="F14" s="7"/>
      <c r="G14" s="7"/>
      <c r="H14" s="11"/>
      <c r="I14" s="11"/>
      <c r="J14" s="14">
        <f>SUM(J7:J13)</f>
        <v>15</v>
      </c>
    </row>
    <row r="15" spans="1:10" ht="12">
      <c r="A15" s="7"/>
      <c r="B15" s="7"/>
      <c r="C15" s="8"/>
      <c r="D15" s="7"/>
      <c r="E15" s="15"/>
      <c r="F15" s="7"/>
      <c r="G15" s="7"/>
      <c r="H15" s="11"/>
      <c r="I15" s="11"/>
      <c r="J15" s="15"/>
    </row>
    <row r="16" spans="1:10" ht="12">
      <c r="A16" s="16" t="s">
        <v>15</v>
      </c>
      <c r="B16" s="7"/>
      <c r="C16" s="7"/>
      <c r="D16" s="7"/>
      <c r="E16" s="7"/>
      <c r="F16" s="7"/>
      <c r="G16" s="7"/>
      <c r="I16" s="18" t="s">
        <v>35</v>
      </c>
      <c r="J16" s="19">
        <f>J14*12</f>
        <v>180</v>
      </c>
    </row>
    <row r="17" spans="1:10" ht="12">
      <c r="A17" s="16" t="s">
        <v>48</v>
      </c>
      <c r="B17" s="7"/>
      <c r="C17" s="7"/>
      <c r="D17" s="7"/>
      <c r="E17" s="7"/>
      <c r="F17" s="7"/>
      <c r="G17" s="7"/>
      <c r="H17" s="7"/>
      <c r="I17" s="7"/>
      <c r="J17" s="7"/>
    </row>
    <row r="18" spans="1:10" ht="12" customHeight="1">
      <c r="A18" s="46" t="s">
        <v>31</v>
      </c>
      <c r="B18" s="46"/>
      <c r="C18" s="46"/>
      <c r="D18" s="46"/>
      <c r="E18" s="46"/>
      <c r="F18" s="46"/>
      <c r="G18" s="7"/>
      <c r="I18" s="47" t="s">
        <v>32</v>
      </c>
      <c r="J18" s="48"/>
    </row>
    <row r="19" spans="1:10" ht="12" customHeight="1">
      <c r="A19" s="46"/>
      <c r="B19" s="46"/>
      <c r="C19" s="46"/>
      <c r="D19" s="46"/>
      <c r="E19" s="46"/>
      <c r="F19" s="46"/>
      <c r="G19" s="7"/>
      <c r="H19" s="25"/>
      <c r="I19" s="49"/>
      <c r="J19" s="50"/>
    </row>
    <row r="20" spans="1:10" ht="12">
      <c r="A20" s="46"/>
      <c r="B20" s="46"/>
      <c r="C20" s="46"/>
      <c r="D20" s="46"/>
      <c r="E20" s="46"/>
      <c r="F20" s="46"/>
      <c r="G20" s="7"/>
      <c r="H20" s="25"/>
      <c r="I20" s="49"/>
      <c r="J20" s="50"/>
    </row>
    <row r="21" spans="1:10" ht="12">
      <c r="A21" s="46"/>
      <c r="B21" s="46"/>
      <c r="C21" s="46"/>
      <c r="D21" s="46"/>
      <c r="E21" s="46"/>
      <c r="F21" s="46"/>
      <c r="G21" s="23" t="s">
        <v>66</v>
      </c>
      <c r="I21" s="26">
        <v>0.01</v>
      </c>
      <c r="J21" s="27">
        <f>J14/(I21/12)</f>
        <v>18000</v>
      </c>
    </row>
    <row r="22" spans="1:10" ht="12">
      <c r="A22" s="7"/>
      <c r="B22" s="7"/>
      <c r="C22" s="7"/>
      <c r="D22" s="7"/>
      <c r="E22" s="7"/>
      <c r="F22" s="7"/>
      <c r="G22" s="7"/>
      <c r="H22" s="7"/>
      <c r="I22" s="7"/>
      <c r="J22" s="7"/>
    </row>
    <row r="23" spans="1:10" ht="12">
      <c r="A23" s="7"/>
      <c r="B23" s="7"/>
      <c r="C23" s="7"/>
      <c r="D23" s="7"/>
      <c r="E23" s="7"/>
      <c r="F23" s="7"/>
      <c r="G23" s="7"/>
      <c r="H23" s="7"/>
      <c r="I23" s="7"/>
      <c r="J23" s="7"/>
    </row>
    <row r="24" spans="1:10" ht="12">
      <c r="A24" s="7"/>
      <c r="B24" s="7"/>
      <c r="C24" s="7"/>
      <c r="D24" s="7"/>
      <c r="E24" s="7"/>
      <c r="F24" s="7"/>
      <c r="G24" s="7"/>
      <c r="H24" s="7"/>
      <c r="I24" s="7"/>
      <c r="J24" s="7"/>
    </row>
    <row r="25" spans="1:10" ht="12">
      <c r="A25" s="7"/>
      <c r="B25" s="7"/>
      <c r="C25" s="7"/>
      <c r="D25" s="7"/>
      <c r="E25" s="7"/>
      <c r="F25" s="7"/>
      <c r="G25" s="7"/>
      <c r="H25" s="7"/>
      <c r="I25" s="7"/>
      <c r="J25" s="7"/>
    </row>
    <row r="26" spans="1:10" ht="12">
      <c r="A26" s="7"/>
      <c r="B26" s="7"/>
      <c r="C26" s="7"/>
      <c r="D26" s="7"/>
      <c r="E26" s="7"/>
      <c r="F26" s="7"/>
      <c r="G26" s="7"/>
      <c r="H26" s="7"/>
      <c r="I26" s="7"/>
      <c r="J26" s="7"/>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row r="34" spans="1:10" ht="12" hidden="1">
      <c r="A34" s="3"/>
      <c r="B34" s="3"/>
      <c r="C34" s="3"/>
      <c r="D34" s="3"/>
      <c r="E34" s="3"/>
      <c r="F34" s="3"/>
      <c r="G34" s="3"/>
      <c r="H34" s="3"/>
      <c r="I34" s="3"/>
      <c r="J34" s="3"/>
    </row>
    <row r="35" spans="1:10" ht="12" hidden="1">
      <c r="A35" s="3"/>
      <c r="B35" s="3"/>
      <c r="C35" s="3"/>
      <c r="D35" s="3"/>
      <c r="E35" s="3"/>
      <c r="F35" s="3"/>
      <c r="G35" s="3"/>
      <c r="H35" s="3"/>
      <c r="I35" s="3"/>
      <c r="J35" s="3"/>
    </row>
    <row r="36" spans="1:10" ht="12" hidden="1">
      <c r="A36" s="3"/>
      <c r="B36" s="3">
        <v>399</v>
      </c>
      <c r="C36" s="3">
        <v>950</v>
      </c>
      <c r="D36" s="3">
        <v>1500</v>
      </c>
      <c r="E36" s="3">
        <v>0</v>
      </c>
      <c r="F36" s="3"/>
      <c r="G36" s="3"/>
      <c r="H36" s="3"/>
      <c r="I36" s="3"/>
      <c r="J36" s="3"/>
    </row>
    <row r="37" spans="2:5" ht="12" hidden="1">
      <c r="B37">
        <v>125</v>
      </c>
      <c r="C37">
        <v>250</v>
      </c>
      <c r="D37">
        <v>350</v>
      </c>
      <c r="E37">
        <v>0</v>
      </c>
    </row>
    <row r="38" spans="2:5" ht="12" hidden="1">
      <c r="B38">
        <v>25</v>
      </c>
      <c r="C38">
        <v>50</v>
      </c>
      <c r="D38">
        <v>50</v>
      </c>
      <c r="E38">
        <v>0</v>
      </c>
    </row>
    <row r="39" spans="2:5" ht="12" hidden="1">
      <c r="B39">
        <v>0</v>
      </c>
      <c r="C39">
        <v>0</v>
      </c>
      <c r="D39">
        <v>0</v>
      </c>
      <c r="E39">
        <v>0</v>
      </c>
    </row>
    <row r="40" spans="2:5" ht="12" hidden="1">
      <c r="B40">
        <v>0</v>
      </c>
      <c r="C40">
        <v>0</v>
      </c>
      <c r="D40">
        <v>0</v>
      </c>
      <c r="E40">
        <v>0</v>
      </c>
    </row>
    <row r="41" spans="2:5" ht="12" hidden="1">
      <c r="B41">
        <v>0</v>
      </c>
      <c r="C41">
        <v>0</v>
      </c>
      <c r="D41">
        <v>0</v>
      </c>
      <c r="E41">
        <v>0</v>
      </c>
    </row>
    <row r="42" spans="2:5" ht="12" hidden="1">
      <c r="B42">
        <v>0</v>
      </c>
      <c r="C42">
        <v>0</v>
      </c>
      <c r="D42">
        <v>0</v>
      </c>
      <c r="E42">
        <v>0</v>
      </c>
    </row>
    <row r="43" ht="12" hidden="1"/>
  </sheetData>
  <sheetProtection password="8566" sheet="1" objects="1" scenarios="1" selectLockedCells="1"/>
  <mergeCells count="2">
    <mergeCell ref="A18:F21"/>
    <mergeCell ref="I18:J20"/>
  </mergeCells>
  <printOptions horizontalCentered="1"/>
  <pageMargins left="0.58" right="0.5" top="0.5" bottom="0.5" header="0.5" footer="0.5"/>
  <pageSetup fitToHeight="1" fitToWidth="1" orientation="landscape"/>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200" zoomScaleNormal="200" workbookViewId="0" topLeftCell="A1">
      <selection activeCell="H3" sqref="H3"/>
    </sheetView>
  </sheetViews>
  <sheetFormatPr defaultColWidth="11.421875" defaultRowHeight="12.75"/>
  <cols>
    <col min="1" max="1" width="11.00390625" style="7" customWidth="1"/>
    <col min="2" max="2" width="11.8515625" style="7" customWidth="1"/>
    <col min="3" max="4" width="9.7109375" style="7" customWidth="1"/>
    <col min="5" max="5" width="8.421875" style="7" customWidth="1"/>
    <col min="6" max="6" width="10.00390625" style="7" customWidth="1"/>
    <col min="7" max="8" width="8.00390625" style="7" customWidth="1"/>
    <col min="9" max="9" width="6.421875" style="7" customWidth="1"/>
    <col min="10" max="10" width="13.7109375" style="7" customWidth="1"/>
    <col min="11" max="11" width="4.421875" style="7" customWidth="1"/>
    <col min="12" max="16384" width="10.8515625" style="7" customWidth="1"/>
  </cols>
  <sheetData>
    <row r="1" spans="1:10" ht="12">
      <c r="A1" s="6" t="s">
        <v>36</v>
      </c>
      <c r="H1" s="5" t="s">
        <v>56</v>
      </c>
      <c r="J1" s="5" t="s">
        <v>30</v>
      </c>
    </row>
    <row r="2" spans="4:10" ht="12">
      <c r="D2" s="5" t="s">
        <v>23</v>
      </c>
      <c r="E2" s="5" t="s">
        <v>26</v>
      </c>
      <c r="F2" s="5" t="s">
        <v>14</v>
      </c>
      <c r="G2" s="5" t="s">
        <v>53</v>
      </c>
      <c r="H2" s="5" t="s">
        <v>55</v>
      </c>
      <c r="J2" s="5" t="s">
        <v>44</v>
      </c>
    </row>
    <row r="3" spans="2:10" ht="12">
      <c r="B3" s="5" t="s">
        <v>7</v>
      </c>
      <c r="C3" s="5" t="s">
        <v>10</v>
      </c>
      <c r="D3" s="5" t="s">
        <v>24</v>
      </c>
      <c r="E3" s="5" t="s">
        <v>23</v>
      </c>
      <c r="F3" s="5" t="s">
        <v>17</v>
      </c>
      <c r="G3" s="5" t="s">
        <v>54</v>
      </c>
      <c r="H3" s="4">
        <v>2</v>
      </c>
      <c r="I3" s="5" t="s">
        <v>57</v>
      </c>
      <c r="J3" s="5" t="s">
        <v>45</v>
      </c>
    </row>
    <row r="4" spans="2:10" ht="13.5" customHeight="1">
      <c r="B4" s="5" t="s">
        <v>8</v>
      </c>
      <c r="C4" s="5" t="s">
        <v>11</v>
      </c>
      <c r="D4" s="20" t="str">
        <f>IF(D5=350,("Sampling Pak"),IF(D5=950,("Xec Pak"),IF(D5=1500,("Master Pak"),("Choose Pak"))))</f>
        <v>Master Pak</v>
      </c>
      <c r="E4" s="5" t="s">
        <v>24</v>
      </c>
      <c r="F4" s="5" t="s">
        <v>47</v>
      </c>
      <c r="G4" s="5" t="s">
        <v>52</v>
      </c>
      <c r="H4" s="5" t="s">
        <v>20</v>
      </c>
      <c r="I4" s="5" t="s">
        <v>54</v>
      </c>
      <c r="J4" s="5" t="s">
        <v>13</v>
      </c>
    </row>
    <row r="5" spans="2:10" ht="12">
      <c r="B5" s="5" t="s">
        <v>9</v>
      </c>
      <c r="C5" s="5" t="s">
        <v>12</v>
      </c>
      <c r="D5" s="30">
        <v>1500</v>
      </c>
      <c r="E5" s="5" t="s">
        <v>25</v>
      </c>
      <c r="F5" s="5">
        <v>350</v>
      </c>
      <c r="G5" s="5" t="s">
        <v>21</v>
      </c>
      <c r="H5" s="8">
        <v>50</v>
      </c>
      <c r="I5" s="5" t="s">
        <v>6</v>
      </c>
      <c r="J5" s="5" t="s">
        <v>46</v>
      </c>
    </row>
    <row r="6" spans="2:10" ht="12">
      <c r="B6" s="5"/>
      <c r="C6" s="5"/>
      <c r="D6" s="5" t="str">
        <f>IF(D5=399,(" "),IF(D5=950,(" "),IF(D5=1500,(" "),("Choose 399, 950, or 1500"))))</f>
        <v> </v>
      </c>
      <c r="E6" s="5"/>
      <c r="F6" s="5"/>
      <c r="G6" s="5"/>
      <c r="I6" s="5"/>
      <c r="J6" s="5"/>
    </row>
    <row r="7" spans="2:10" ht="12.75" customHeight="1">
      <c r="B7" s="5" t="s">
        <v>22</v>
      </c>
      <c r="C7" s="5"/>
      <c r="D7" s="5"/>
      <c r="E7" s="5"/>
      <c r="F7" s="29"/>
      <c r="J7" s="10"/>
    </row>
    <row r="8" spans="1:10" ht="12">
      <c r="A8" s="7" t="s">
        <v>0</v>
      </c>
      <c r="B8" s="2">
        <v>12</v>
      </c>
      <c r="C8" s="5">
        <f>B8</f>
        <v>12</v>
      </c>
      <c r="D8" s="5">
        <f>HLOOKUP($D$5,$B$38:$E$44,2,TRUE)</f>
        <v>350</v>
      </c>
      <c r="E8" s="5">
        <f>C8*D8</f>
        <v>4200</v>
      </c>
      <c r="F8" s="7">
        <f aca="true" t="shared" si="0" ref="F8:F15">C8*$F$5</f>
        <v>4200</v>
      </c>
      <c r="G8" s="11">
        <v>0.15</v>
      </c>
      <c r="H8" s="7">
        <f>H3*$H$5</f>
        <v>100</v>
      </c>
      <c r="I8" s="9">
        <v>0.15</v>
      </c>
      <c r="J8" s="32">
        <f>IF($B$8&gt;=3,((F8*G8)+(H8*I8)),("Need at least 3 Personal"))</f>
        <v>645</v>
      </c>
    </row>
    <row r="9" spans="1:10" ht="12">
      <c r="A9" s="7" t="s">
        <v>37</v>
      </c>
      <c r="B9" s="4">
        <v>3</v>
      </c>
      <c r="C9" s="5">
        <f aca="true" t="shared" si="1" ref="C9:C15">C8*B9</f>
        <v>36</v>
      </c>
      <c r="D9" s="5">
        <f>HLOOKUP($D$5,$B$38:$E$44,3,TRUE)</f>
        <v>50</v>
      </c>
      <c r="E9" s="5">
        <f>C9*D9</f>
        <v>1800</v>
      </c>
      <c r="F9" s="7">
        <f t="shared" si="0"/>
        <v>12600</v>
      </c>
      <c r="G9" s="11">
        <v>0.1</v>
      </c>
      <c r="H9" s="7">
        <f>C8*$H$3*$H$5</f>
        <v>1200</v>
      </c>
      <c r="I9" s="11">
        <v>0.1</v>
      </c>
      <c r="J9" s="32">
        <f>IF(B8&lt;3,(0),IF($B$9&gt;=1,((F9*G9)+(H9*I9)),("Need 1 Generation 1")))</f>
        <v>1380</v>
      </c>
    </row>
    <row r="10" spans="1:10" ht="12">
      <c r="A10" s="7" t="s">
        <v>38</v>
      </c>
      <c r="B10" s="4">
        <v>3</v>
      </c>
      <c r="C10" s="5">
        <f t="shared" si="1"/>
        <v>108</v>
      </c>
      <c r="D10" s="5"/>
      <c r="E10" s="5"/>
      <c r="F10" s="7">
        <f t="shared" si="0"/>
        <v>37800</v>
      </c>
      <c r="G10" s="11">
        <v>0.1</v>
      </c>
      <c r="H10" s="7">
        <f>C9*$H$3*$H$5</f>
        <v>3600</v>
      </c>
      <c r="I10" s="11">
        <v>0.1</v>
      </c>
      <c r="J10" s="32">
        <f>IF(B8&lt;3,(0),IF(B9=0,(0),IF($B$9&gt;=2,((F10*G10)+(H10*I10)),("Need 2 Generation 1"))))</f>
        <v>4140</v>
      </c>
    </row>
    <row r="11" spans="1:10" ht="12">
      <c r="A11" s="7" t="s">
        <v>39</v>
      </c>
      <c r="B11" s="4">
        <v>0</v>
      </c>
      <c r="C11" s="5">
        <f t="shared" si="1"/>
        <v>0</v>
      </c>
      <c r="D11" s="5"/>
      <c r="E11" s="5"/>
      <c r="F11" s="7">
        <f t="shared" si="0"/>
        <v>0</v>
      </c>
      <c r="G11" s="11">
        <v>0.1</v>
      </c>
      <c r="H11" s="7">
        <f>C10*$H$3*$H$5</f>
        <v>10800</v>
      </c>
      <c r="I11" s="11">
        <v>0.05</v>
      </c>
      <c r="J11" s="32">
        <f>IF(B8&lt;3,(0),IF(B10=0,(0),IF($B$9&gt;=3,((F11*G11)+(H11*I11)),("Need 3 Generation 1"))))</f>
        <v>540</v>
      </c>
    </row>
    <row r="12" spans="1:10" ht="12">
      <c r="A12" s="7" t="s">
        <v>40</v>
      </c>
      <c r="B12" s="4">
        <v>0</v>
      </c>
      <c r="C12" s="5">
        <f t="shared" si="1"/>
        <v>0</v>
      </c>
      <c r="D12" s="5"/>
      <c r="E12" s="5"/>
      <c r="F12" s="7">
        <f t="shared" si="0"/>
        <v>0</v>
      </c>
      <c r="G12" s="11">
        <v>0.1</v>
      </c>
      <c r="H12" s="7">
        <f>C11*$H$3*$H$5</f>
        <v>0</v>
      </c>
      <c r="I12" s="11">
        <v>0.05</v>
      </c>
      <c r="J12" s="32">
        <f>IF(B8&lt;3,(0),IF(B11=0,(0),IF($B$9&gt;=4,((F12*G12)+(H12*I12)),("Need 4 Generation 1"))))</f>
        <v>0</v>
      </c>
    </row>
    <row r="13" spans="1:10" ht="12">
      <c r="A13" s="7" t="s">
        <v>41</v>
      </c>
      <c r="B13" s="4">
        <v>0</v>
      </c>
      <c r="C13" s="5">
        <f t="shared" si="1"/>
        <v>0</v>
      </c>
      <c r="D13" s="5"/>
      <c r="E13" s="13"/>
      <c r="F13" s="7">
        <f t="shared" si="0"/>
        <v>0</v>
      </c>
      <c r="G13" s="11">
        <v>0.1</v>
      </c>
      <c r="H13" s="7">
        <f>C12*$H$3*$H$5</f>
        <v>0</v>
      </c>
      <c r="I13" s="11">
        <v>0.05</v>
      </c>
      <c r="J13" s="32">
        <f>IF(B8&lt;3,(0),IF(B12=0,(0),IF($B$9&gt;=5,((F13*G13)+(H13*I13)),("Need 5 Generation 1"))))</f>
        <v>0</v>
      </c>
    </row>
    <row r="14" spans="1:10" ht="12">
      <c r="A14" s="7" t="s">
        <v>42</v>
      </c>
      <c r="B14" s="4">
        <v>0</v>
      </c>
      <c r="C14" s="5">
        <f t="shared" si="1"/>
        <v>0</v>
      </c>
      <c r="D14" s="5"/>
      <c r="E14" s="13"/>
      <c r="F14" s="7">
        <f t="shared" si="0"/>
        <v>0</v>
      </c>
      <c r="G14" s="11">
        <v>0.1</v>
      </c>
      <c r="I14" s="11"/>
      <c r="J14" s="32">
        <f>IF(B8&lt;3,(0),(IF(F14=0,(0),IF($B$9&gt;=6,((F14*G14)),("Need 6 Generation 1")))))</f>
        <v>0</v>
      </c>
    </row>
    <row r="15" spans="1:10" ht="12">
      <c r="A15" s="7" t="s">
        <v>43</v>
      </c>
      <c r="B15" s="4">
        <v>0</v>
      </c>
      <c r="C15" s="5">
        <f t="shared" si="1"/>
        <v>0</v>
      </c>
      <c r="D15" s="5"/>
      <c r="E15" s="13"/>
      <c r="F15" s="7">
        <f t="shared" si="0"/>
        <v>0</v>
      </c>
      <c r="G15" s="11">
        <v>0.1</v>
      </c>
      <c r="I15" s="11"/>
      <c r="J15" s="32">
        <f>IF(B8&lt;3,(0),IF(F15=0,(0),IF($B$9&gt;=7,((F15*G15)),("Need 7 Generation 1"))))</f>
        <v>0</v>
      </c>
    </row>
    <row r="16" spans="1:10" ht="12">
      <c r="A16" s="7" t="s">
        <v>29</v>
      </c>
      <c r="C16" s="17">
        <f>SUM(C8:C15)</f>
        <v>156</v>
      </c>
      <c r="E16" s="14">
        <f>IF(D6=" ",(SUM(E8:E15)),("Pak Error"))</f>
        <v>6000</v>
      </c>
      <c r="I16" s="11"/>
      <c r="J16" s="21">
        <f>IF(G38&gt;1000001,("Demo Maxed"),(G38))</f>
        <v>6705</v>
      </c>
    </row>
    <row r="17" spans="3:10" ht="12">
      <c r="C17" s="8"/>
      <c r="E17" s="15"/>
      <c r="I17" s="11"/>
      <c r="J17" s="15"/>
    </row>
    <row r="18" spans="1:10" ht="12">
      <c r="A18" s="16" t="s">
        <v>15</v>
      </c>
      <c r="D18"/>
      <c r="E18"/>
      <c r="F18"/>
      <c r="I18" s="18" t="s">
        <v>35</v>
      </c>
      <c r="J18" s="19">
        <f>J16*12</f>
        <v>80460</v>
      </c>
    </row>
    <row r="19" ht="12">
      <c r="A19" s="16" t="s">
        <v>33</v>
      </c>
    </row>
    <row r="20" spans="1:10" ht="12" customHeight="1">
      <c r="A20" s="46" t="s">
        <v>65</v>
      </c>
      <c r="B20" s="46"/>
      <c r="C20" s="46"/>
      <c r="D20" s="46"/>
      <c r="E20" s="46"/>
      <c r="F20" s="46"/>
      <c r="G20" s="46"/>
      <c r="I20" s="47" t="s">
        <v>32</v>
      </c>
      <c r="J20" s="48"/>
    </row>
    <row r="21" spans="1:10" ht="12" customHeight="1">
      <c r="A21" s="46"/>
      <c r="B21" s="46"/>
      <c r="C21" s="46"/>
      <c r="D21" s="46"/>
      <c r="E21" s="46"/>
      <c r="F21" s="46"/>
      <c r="G21" s="46"/>
      <c r="I21" s="49"/>
      <c r="J21" s="50"/>
    </row>
    <row r="22" spans="1:10" ht="12" customHeight="1">
      <c r="A22" s="46"/>
      <c r="B22" s="46"/>
      <c r="C22" s="46"/>
      <c r="D22" s="46"/>
      <c r="E22" s="46"/>
      <c r="F22" s="46"/>
      <c r="G22" s="46"/>
      <c r="I22" s="49"/>
      <c r="J22" s="50"/>
    </row>
    <row r="23" spans="1:10" ht="12">
      <c r="A23" s="46"/>
      <c r="B23" s="46"/>
      <c r="C23" s="46"/>
      <c r="D23" s="46"/>
      <c r="E23" s="46"/>
      <c r="F23" s="46"/>
      <c r="G23" s="46"/>
      <c r="H23" s="22" t="s">
        <v>66</v>
      </c>
      <c r="I23" s="26">
        <v>0.01</v>
      </c>
      <c r="J23" s="27">
        <f>J16/(I23/12)</f>
        <v>8045999.999999999</v>
      </c>
    </row>
    <row r="30" ht="12">
      <c r="G30" s="31"/>
    </row>
    <row r="35" ht="12.75" customHeight="1"/>
    <row r="36" ht="12" hidden="1"/>
    <row r="37" ht="12" hidden="1"/>
    <row r="38" spans="2:7" ht="12" hidden="1">
      <c r="B38" s="7">
        <v>399</v>
      </c>
      <c r="C38" s="7">
        <v>950</v>
      </c>
      <c r="D38" s="7">
        <v>1500</v>
      </c>
      <c r="E38" s="7">
        <v>0</v>
      </c>
      <c r="G38" s="12">
        <f>SUM(J8:J15)</f>
        <v>6705</v>
      </c>
    </row>
    <row r="39" spans="2:5" ht="12" hidden="1">
      <c r="B39" s="7">
        <v>125</v>
      </c>
      <c r="C39" s="7">
        <v>250</v>
      </c>
      <c r="D39" s="7">
        <v>350</v>
      </c>
      <c r="E39" s="7">
        <v>0</v>
      </c>
    </row>
    <row r="40" spans="2:5" ht="12" hidden="1">
      <c r="B40" s="7">
        <v>25</v>
      </c>
      <c r="C40" s="7">
        <v>50</v>
      </c>
      <c r="D40" s="7">
        <v>50</v>
      </c>
      <c r="E40" s="7">
        <v>0</v>
      </c>
    </row>
    <row r="41" spans="2:5" ht="12" hidden="1">
      <c r="B41" s="7">
        <v>0</v>
      </c>
      <c r="C41" s="7">
        <v>0</v>
      </c>
      <c r="D41" s="7">
        <v>0</v>
      </c>
      <c r="E41" s="7">
        <v>0</v>
      </c>
    </row>
    <row r="42" spans="2:5" ht="12" hidden="1">
      <c r="B42" s="7">
        <v>0</v>
      </c>
      <c r="C42" s="7">
        <v>0</v>
      </c>
      <c r="D42" s="7">
        <v>0</v>
      </c>
      <c r="E42" s="7">
        <v>0</v>
      </c>
    </row>
    <row r="43" spans="2:5" ht="12" hidden="1">
      <c r="B43" s="7">
        <v>0</v>
      </c>
      <c r="C43" s="7">
        <v>0</v>
      </c>
      <c r="D43" s="7">
        <v>0</v>
      </c>
      <c r="E43" s="7">
        <v>0</v>
      </c>
    </row>
    <row r="44" spans="2:5" ht="12" hidden="1">
      <c r="B44" s="7">
        <v>0</v>
      </c>
      <c r="C44" s="7">
        <v>0</v>
      </c>
      <c r="D44" s="7">
        <v>0</v>
      </c>
      <c r="E44" s="7">
        <v>0</v>
      </c>
    </row>
    <row r="45" ht="12" hidden="1"/>
  </sheetData>
  <sheetProtection password="8566" sheet="1" objects="1" scenarios="1" selectLockedCells="1"/>
  <mergeCells count="2">
    <mergeCell ref="A20:G23"/>
    <mergeCell ref="I20:J22"/>
  </mergeCells>
  <printOptions horizontalCentered="1"/>
  <pageMargins left="0.58" right="0.5" top="0.5" bottom="0.5" header="0.5" footer="0.5"/>
  <pageSetup fitToHeight="1" fitToWidth="1" orientation="landscape"/>
</worksheet>
</file>

<file path=xl/worksheets/sheet3.xml><?xml version="1.0" encoding="utf-8"?>
<worksheet xmlns="http://schemas.openxmlformats.org/spreadsheetml/2006/main" xmlns:r="http://schemas.openxmlformats.org/officeDocument/2006/relationships">
  <dimension ref="A1:G23"/>
  <sheetViews>
    <sheetView tabSelected="1" zoomScale="125" zoomScaleNormal="125" workbookViewId="0" topLeftCell="A1">
      <selection activeCell="C12" sqref="C12"/>
    </sheetView>
  </sheetViews>
  <sheetFormatPr defaultColWidth="11.421875" defaultRowHeight="12.75"/>
  <cols>
    <col min="1" max="1" width="10.8515625" style="7" customWidth="1"/>
    <col min="2" max="2" width="52.421875" style="43" customWidth="1"/>
    <col min="3" max="16384" width="10.8515625" style="7" customWidth="1"/>
  </cols>
  <sheetData>
    <row r="1" spans="1:7" ht="15">
      <c r="A1" s="35"/>
      <c r="B1" s="36"/>
      <c r="C1" s="35"/>
      <c r="D1" s="35"/>
      <c r="E1" s="35"/>
      <c r="F1" s="35"/>
      <c r="G1" s="35"/>
    </row>
    <row r="2" spans="1:7" ht="15">
      <c r="A2" s="35"/>
      <c r="B2" s="36"/>
      <c r="C2" s="35"/>
      <c r="D2" s="35"/>
      <c r="E2" s="35"/>
      <c r="F2" s="35"/>
      <c r="G2" s="35"/>
    </row>
    <row r="3" spans="1:7" ht="15">
      <c r="A3" s="35"/>
      <c r="B3" s="36"/>
      <c r="C3" s="35"/>
      <c r="D3" s="35"/>
      <c r="E3" s="35"/>
      <c r="F3" s="35"/>
      <c r="G3" s="35"/>
    </row>
    <row r="4" spans="1:7" ht="15">
      <c r="A4" s="35"/>
      <c r="B4" s="36"/>
      <c r="C4" s="35"/>
      <c r="D4" s="35"/>
      <c r="E4" s="35"/>
      <c r="F4" s="35"/>
      <c r="G4" s="35"/>
    </row>
    <row r="5" spans="1:7" ht="15.75" thickBot="1">
      <c r="A5" s="37"/>
      <c r="B5" s="38"/>
      <c r="C5" s="37"/>
      <c r="D5" s="37"/>
      <c r="E5" s="37"/>
      <c r="F5" s="37"/>
      <c r="G5" s="37"/>
    </row>
    <row r="6" spans="1:7" ht="46.5" thickBot="1" thickTop="1">
      <c r="A6" s="37"/>
      <c r="B6" s="39" t="s">
        <v>62</v>
      </c>
      <c r="C6" s="34">
        <v>12</v>
      </c>
      <c r="D6" s="57" t="str">
        <f>IF(C6&lt;2,"ERROR must be at least 2","With 12 customers your first year, earn potential $2,000 bonus!")</f>
        <v>With 12 customers your first year, earn potential $2,000 bonus!</v>
      </c>
      <c r="E6" s="58"/>
      <c r="F6" s="58"/>
      <c r="G6" s="37"/>
    </row>
    <row r="7" spans="1:7" ht="16.5" thickBot="1" thickTop="1">
      <c r="A7" s="37"/>
      <c r="B7" s="38"/>
      <c r="C7" s="37"/>
      <c r="D7" s="37"/>
      <c r="E7" s="37"/>
      <c r="F7" s="37"/>
      <c r="G7" s="37"/>
    </row>
    <row r="8" spans="1:7" ht="45" customHeight="1" thickBot="1" thickTop="1">
      <c r="A8" s="37"/>
      <c r="B8" s="40" t="s">
        <v>59</v>
      </c>
      <c r="C8" s="44">
        <v>12</v>
      </c>
      <c r="D8" s="60" t="str">
        <f>IF(C8&lt;3,"ERROR: need at least 3 Xecs to use demonstrator"," ")</f>
        <v> </v>
      </c>
      <c r="E8" s="61"/>
      <c r="F8" s="61"/>
      <c r="G8" s="37"/>
    </row>
    <row r="9" spans="1:7" ht="16.5" thickBot="1" thickTop="1">
      <c r="A9" s="37"/>
      <c r="B9" s="38"/>
      <c r="C9" s="37"/>
      <c r="D9" s="37"/>
      <c r="E9" s="37"/>
      <c r="F9" s="37"/>
      <c r="G9" s="37"/>
    </row>
    <row r="10" spans="1:7" ht="45" customHeight="1" thickBot="1" thickTop="1">
      <c r="A10" s="37"/>
      <c r="B10" s="40" t="s">
        <v>60</v>
      </c>
      <c r="C10" s="44">
        <v>3</v>
      </c>
      <c r="D10" s="57" t="str">
        <f>IF(C10&gt;6,"You would be a PRESIDENTIAL DIRECTOR eligible for 7 generations in bonus pools",IF(C10&gt;5,"You would be a VICE PRES. DIRECTOR eligible for 6 generations in bonus pools",IF(C10&gt;4,"You would be a NATIONAL DIRECTOR eligible for 5 generations in bonus pools",IF(C10&gt;3,"You would be a REGIONAL DIRECTOR eligible for 4 generations in bonus pools",IF(C10&gt;2,"You would be a DIRECTOR eligible for 3 generations in bonus pools",IF(C10&gt;1,"You would be a SENIOR MANAGER eligible for 2 generations in bonus pools",IF(C10&gt;0,"You would be a MANAGER eligible for 1 generation in bonus pools"," ")))))))</f>
        <v>You would be a DIRECTOR eligible for 3 generations in bonus pools</v>
      </c>
      <c r="E10" s="58"/>
      <c r="F10" s="58"/>
      <c r="G10" s="37"/>
    </row>
    <row r="11" spans="1:7" ht="16.5" thickBot="1" thickTop="1">
      <c r="A11" s="37"/>
      <c r="B11" s="38"/>
      <c r="C11" s="37"/>
      <c r="D11" s="37"/>
      <c r="E11" s="37"/>
      <c r="F11" s="37"/>
      <c r="G11" s="37"/>
    </row>
    <row r="12" spans="1:7" ht="45" customHeight="1" thickBot="1" thickTop="1">
      <c r="A12" s="37"/>
      <c r="B12" s="40" t="s">
        <v>61</v>
      </c>
      <c r="C12" s="44">
        <v>1</v>
      </c>
      <c r="D12" s="57" t="str">
        <f>IF(C10&gt;6,"Assuming same duplication on generations 2-7",IF(C10&gt;5,"Assuming same duplication on generations 2-6",IF(C10&gt;4,"Assuming same duplication on generations 2-5",IF(C10&gt;3,"Assuming same duplication on generations 2-4",IF(C10&gt;2,"Assuming same duplication on generations 2 and 3",IF(C10&gt;1,"Duplication on generation 2","Not eligible for these levels yet"))))))</f>
        <v>Assuming same duplication on generations 2 and 3</v>
      </c>
      <c r="E12" s="58"/>
      <c r="F12" s="58"/>
      <c r="G12" s="37"/>
    </row>
    <row r="13" spans="1:7" ht="6.75" customHeight="1" thickTop="1">
      <c r="A13" s="37"/>
      <c r="B13" s="38"/>
      <c r="C13" s="37"/>
      <c r="D13" s="37"/>
      <c r="E13" s="37"/>
      <c r="F13" s="37"/>
      <c r="G13" s="37"/>
    </row>
    <row r="14" spans="1:7" ht="6.75" customHeight="1" thickBot="1">
      <c r="A14" s="37"/>
      <c r="B14" s="38"/>
      <c r="C14" s="37"/>
      <c r="D14" s="37"/>
      <c r="E14" s="37"/>
      <c r="F14" s="37"/>
      <c r="G14" s="37"/>
    </row>
    <row r="15" spans="1:7" ht="33.75" customHeight="1" thickBot="1" thickTop="1">
      <c r="A15" s="41" t="s">
        <v>64</v>
      </c>
      <c r="B15" s="38"/>
      <c r="C15" s="37"/>
      <c r="D15" s="37"/>
      <c r="E15" s="54">
        <f>HMsupport!J16</f>
        <v>5085</v>
      </c>
      <c r="F15" s="55"/>
      <c r="G15" s="37"/>
    </row>
    <row r="16" spans="1:7" ht="15.75" thickTop="1">
      <c r="A16" s="37"/>
      <c r="B16" s="38"/>
      <c r="C16" s="37"/>
      <c r="D16" s="37"/>
      <c r="E16" s="62" t="s">
        <v>68</v>
      </c>
      <c r="F16" s="62"/>
      <c r="G16" s="37"/>
    </row>
    <row r="17" spans="1:7" ht="15.75" customHeight="1" thickBot="1">
      <c r="A17" s="37"/>
      <c r="B17" s="59" t="s">
        <v>63</v>
      </c>
      <c r="C17" s="37"/>
      <c r="D17" s="37"/>
      <c r="E17" s="37"/>
      <c r="F17" s="37"/>
      <c r="G17" s="37"/>
    </row>
    <row r="18" spans="1:7" ht="18" thickBot="1">
      <c r="A18" s="37"/>
      <c r="B18" s="59"/>
      <c r="C18" s="45">
        <v>0.01</v>
      </c>
      <c r="D18" s="56">
        <f>HMsupport!J23</f>
        <v>6102000</v>
      </c>
      <c r="E18" s="56"/>
      <c r="F18" s="37"/>
      <c r="G18" s="37"/>
    </row>
    <row r="19" spans="1:7" ht="15" customHeight="1">
      <c r="A19" s="37"/>
      <c r="B19" s="59"/>
      <c r="C19" s="37"/>
      <c r="D19" s="37"/>
      <c r="E19" s="37"/>
      <c r="F19" s="37"/>
      <c r="G19" s="37"/>
    </row>
    <row r="20" spans="1:7" ht="6.75" customHeight="1" thickBot="1">
      <c r="A20" s="37"/>
      <c r="B20" s="38"/>
      <c r="C20" s="37"/>
      <c r="D20" s="37"/>
      <c r="E20" s="37"/>
      <c r="F20" s="37"/>
      <c r="G20" s="37"/>
    </row>
    <row r="21" spans="1:7" ht="48.75" customHeight="1" thickBot="1">
      <c r="A21" s="42"/>
      <c r="B21" s="51" t="s">
        <v>67</v>
      </c>
      <c r="C21" s="52"/>
      <c r="D21" s="52"/>
      <c r="E21" s="52"/>
      <c r="F21" s="53"/>
      <c r="G21" s="37"/>
    </row>
    <row r="22" spans="1:7" ht="6.75" customHeight="1">
      <c r="A22" s="37"/>
      <c r="B22" s="38"/>
      <c r="C22" s="37"/>
      <c r="D22" s="37"/>
      <c r="E22" s="37"/>
      <c r="F22" s="37"/>
      <c r="G22" s="37"/>
    </row>
    <row r="23" spans="1:7" ht="15">
      <c r="A23" s="37"/>
      <c r="B23" s="38"/>
      <c r="C23" s="37"/>
      <c r="D23" s="37"/>
      <c r="E23" s="37"/>
      <c r="F23" s="37"/>
      <c r="G23" s="33" t="s">
        <v>66</v>
      </c>
    </row>
  </sheetData>
  <sheetProtection password="8566" sheet="1" objects="1" scenarios="1" selectLockedCells="1"/>
  <mergeCells count="9">
    <mergeCell ref="B21:F21"/>
    <mergeCell ref="E15:F15"/>
    <mergeCell ref="D18:E18"/>
    <mergeCell ref="D10:F10"/>
    <mergeCell ref="B17:B19"/>
    <mergeCell ref="D6:F6"/>
    <mergeCell ref="D8:F8"/>
    <mergeCell ref="D12:F12"/>
    <mergeCell ref="E16:F16"/>
  </mergeCells>
  <printOptions/>
  <pageMargins left="0.75" right="0.75" top="1" bottom="1" header="0.5" footer="0.5"/>
  <pageSetup orientation="landscape"/>
  <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200" zoomScaleNormal="200" workbookViewId="0" topLeftCell="A2">
      <selection activeCell="H23" sqref="H23"/>
    </sheetView>
  </sheetViews>
  <sheetFormatPr defaultColWidth="11.421875" defaultRowHeight="12.75"/>
  <cols>
    <col min="1" max="1" width="11.00390625" style="7" customWidth="1"/>
    <col min="2" max="2" width="11.8515625" style="7" customWidth="1"/>
    <col min="3" max="4" width="9.7109375" style="7" customWidth="1"/>
    <col min="5" max="5" width="8.421875" style="7" customWidth="1"/>
    <col min="6" max="6" width="10.00390625" style="7" customWidth="1"/>
    <col min="7" max="8" width="8.00390625" style="7" customWidth="1"/>
    <col min="9" max="9" width="6.421875" style="7" customWidth="1"/>
    <col min="10" max="10" width="13.7109375" style="7" customWidth="1"/>
    <col min="11" max="11" width="4.421875" style="7" customWidth="1"/>
    <col min="12" max="16384" width="10.8515625" style="7" customWidth="1"/>
  </cols>
  <sheetData>
    <row r="1" spans="1:10" ht="12">
      <c r="A1" s="6" t="s">
        <v>36</v>
      </c>
      <c r="H1" s="5" t="s">
        <v>56</v>
      </c>
      <c r="J1" s="5" t="s">
        <v>30</v>
      </c>
    </row>
    <row r="2" spans="4:10" ht="12">
      <c r="D2" s="5" t="s">
        <v>23</v>
      </c>
      <c r="E2" s="5" t="s">
        <v>26</v>
      </c>
      <c r="F2" s="5" t="s">
        <v>14</v>
      </c>
      <c r="G2" s="5" t="s">
        <v>53</v>
      </c>
      <c r="H2" s="5" t="s">
        <v>55</v>
      </c>
      <c r="J2" s="5" t="s">
        <v>44</v>
      </c>
    </row>
    <row r="3" spans="2:10" ht="12">
      <c r="B3" s="5" t="s">
        <v>7</v>
      </c>
      <c r="C3" s="5" t="s">
        <v>10</v>
      </c>
      <c r="D3" s="5" t="s">
        <v>24</v>
      </c>
      <c r="E3" s="5" t="s">
        <v>23</v>
      </c>
      <c r="F3" s="5" t="s">
        <v>17</v>
      </c>
      <c r="G3" s="5" t="s">
        <v>54</v>
      </c>
      <c r="H3" s="4">
        <v>2</v>
      </c>
      <c r="I3" s="5" t="s">
        <v>57</v>
      </c>
      <c r="J3" s="5" t="s">
        <v>45</v>
      </c>
    </row>
    <row r="4" spans="2:10" ht="13.5" customHeight="1">
      <c r="B4" s="5" t="s">
        <v>8</v>
      </c>
      <c r="C4" s="5" t="s">
        <v>11</v>
      </c>
      <c r="D4" s="20" t="str">
        <f>IF(D5=350,("Sampling Pak"),IF(D5=950,("Xec Pak"),IF(D5=1500,("Master Pak"),("Choose Pak"))))</f>
        <v>Master Pak</v>
      </c>
      <c r="E4" s="5" t="s">
        <v>24</v>
      </c>
      <c r="F4" s="5" t="s">
        <v>47</v>
      </c>
      <c r="G4" s="5" t="s">
        <v>52</v>
      </c>
      <c r="H4" s="5" t="s">
        <v>20</v>
      </c>
      <c r="I4" s="5" t="s">
        <v>54</v>
      </c>
      <c r="J4" s="5" t="s">
        <v>13</v>
      </c>
    </row>
    <row r="5" spans="2:10" ht="12">
      <c r="B5" s="5" t="s">
        <v>9</v>
      </c>
      <c r="C5" s="5" t="s">
        <v>12</v>
      </c>
      <c r="D5" s="30">
        <v>1500</v>
      </c>
      <c r="E5" s="5" t="s">
        <v>25</v>
      </c>
      <c r="F5" s="5">
        <v>350</v>
      </c>
      <c r="G5" s="5" t="s">
        <v>21</v>
      </c>
      <c r="H5" s="8">
        <v>50</v>
      </c>
      <c r="I5" s="5" t="s">
        <v>6</v>
      </c>
      <c r="J5" s="5" t="s">
        <v>46</v>
      </c>
    </row>
    <row r="6" spans="2:10" ht="12">
      <c r="B6" s="5"/>
      <c r="C6" s="5"/>
      <c r="D6" s="5" t="str">
        <f>IF(D5=399,(" "),IF(D5=950,(" "),IF(D5=1500,(" "),("Choose 399, 950, or 1500"))))</f>
        <v> </v>
      </c>
      <c r="E6" s="5"/>
      <c r="F6" s="5"/>
      <c r="G6" s="5"/>
      <c r="I6" s="5"/>
      <c r="J6" s="5"/>
    </row>
    <row r="7" spans="2:10" ht="12.75" customHeight="1">
      <c r="B7" s="5" t="s">
        <v>22</v>
      </c>
      <c r="C7" s="5"/>
      <c r="D7" s="5"/>
      <c r="E7" s="5"/>
      <c r="F7" s="29"/>
      <c r="J7" s="10"/>
    </row>
    <row r="8" spans="1:10" ht="12">
      <c r="A8" s="7" t="s">
        <v>0</v>
      </c>
      <c r="B8" s="2">
        <f>'How many will you sponsor'!C8</f>
        <v>12</v>
      </c>
      <c r="C8" s="5">
        <f>B8</f>
        <v>12</v>
      </c>
      <c r="D8" s="5">
        <f>HLOOKUP($D$5,$B$38:$E$44,2,TRUE)</f>
        <v>350</v>
      </c>
      <c r="E8" s="5">
        <f>C8*D8</f>
        <v>4200</v>
      </c>
      <c r="F8" s="7">
        <f aca="true" t="shared" si="0" ref="F8:F15">C8*$F$5</f>
        <v>4200</v>
      </c>
      <c r="G8" s="11">
        <v>0.15</v>
      </c>
      <c r="H8" s="7">
        <f>H3*$H$5</f>
        <v>100</v>
      </c>
      <c r="I8" s="9">
        <v>0.15</v>
      </c>
      <c r="J8" s="32">
        <f>IF($B$8&gt;=3,((F8*G8)+(H8*I8)),("Need at least 3 Personal"))</f>
        <v>645</v>
      </c>
    </row>
    <row r="9" spans="1:10" ht="12">
      <c r="A9" s="7" t="s">
        <v>37</v>
      </c>
      <c r="B9" s="4">
        <f>'How many will you sponsor'!C10</f>
        <v>3</v>
      </c>
      <c r="C9" s="5">
        <f aca="true" t="shared" si="1" ref="C9:C15">C8*B9</f>
        <v>36</v>
      </c>
      <c r="D9" s="5">
        <f>HLOOKUP($D$5,$B$38:$E$44,3,TRUE)</f>
        <v>50</v>
      </c>
      <c r="E9" s="5">
        <f>C9*D9</f>
        <v>1800</v>
      </c>
      <c r="F9" s="7">
        <f t="shared" si="0"/>
        <v>12600</v>
      </c>
      <c r="G9" s="11">
        <v>0.1</v>
      </c>
      <c r="H9" s="7">
        <f>C8*$H$3*$H$5</f>
        <v>1200</v>
      </c>
      <c r="I9" s="11">
        <v>0.1</v>
      </c>
      <c r="J9" s="32">
        <f>IF(B8&lt;3,(0),IF($B$9&gt;=1,((F9*G9)+(H9*I9)),("Need 1 Generation 1")))</f>
        <v>1380</v>
      </c>
    </row>
    <row r="10" spans="1:10" ht="12">
      <c r="A10" s="7" t="s">
        <v>38</v>
      </c>
      <c r="B10" s="4">
        <f>'How many will you sponsor'!$C$12</f>
        <v>1</v>
      </c>
      <c r="C10" s="5">
        <f t="shared" si="1"/>
        <v>36</v>
      </c>
      <c r="D10" s="5"/>
      <c r="E10" s="5"/>
      <c r="F10" s="7">
        <f t="shared" si="0"/>
        <v>12600</v>
      </c>
      <c r="G10" s="11">
        <v>0.1</v>
      </c>
      <c r="H10" s="7">
        <f>C9*$H$3*$H$5</f>
        <v>3600</v>
      </c>
      <c r="I10" s="11">
        <v>0.1</v>
      </c>
      <c r="J10" s="32">
        <f>IF(B8&lt;3,(0),IF(B9=0,(0),IF($B$9&gt;=2,((F10*G10)+(H10*I10)),("Need 2 Generation 1"))))</f>
        <v>1620</v>
      </c>
    </row>
    <row r="11" spans="1:10" ht="12">
      <c r="A11" s="7" t="s">
        <v>39</v>
      </c>
      <c r="B11" s="4">
        <f>'How many will you sponsor'!$C$12</f>
        <v>1</v>
      </c>
      <c r="C11" s="5">
        <f t="shared" si="1"/>
        <v>36</v>
      </c>
      <c r="D11" s="5"/>
      <c r="E11" s="5"/>
      <c r="F11" s="7">
        <f t="shared" si="0"/>
        <v>12600</v>
      </c>
      <c r="G11" s="11">
        <v>0.1</v>
      </c>
      <c r="H11" s="7">
        <f>C10*$H$3*$H$5</f>
        <v>3600</v>
      </c>
      <c r="I11" s="11">
        <v>0.05</v>
      </c>
      <c r="J11" s="32">
        <f>IF(B8&lt;3,(0),IF(B10=0,(0),IF($B$9&gt;=3,((F11*G11)+(H11*I11)),("Need 3 Generation 1"))))</f>
        <v>1440</v>
      </c>
    </row>
    <row r="12" spans="1:10" ht="12">
      <c r="A12" s="7" t="s">
        <v>40</v>
      </c>
      <c r="B12" s="4">
        <f>'How many will you sponsor'!$C$12</f>
        <v>1</v>
      </c>
      <c r="C12" s="5">
        <f t="shared" si="1"/>
        <v>36</v>
      </c>
      <c r="D12" s="5"/>
      <c r="E12" s="5"/>
      <c r="F12" s="7">
        <f t="shared" si="0"/>
        <v>12600</v>
      </c>
      <c r="G12" s="11">
        <v>0.1</v>
      </c>
      <c r="H12" s="7">
        <f>C11*$H$3*$H$5</f>
        <v>3600</v>
      </c>
      <c r="I12" s="11">
        <v>0.05</v>
      </c>
      <c r="J12" s="32" t="str">
        <f>IF(B8&lt;3,(0),IF(B11=0,(0),IF($B$9&gt;=4,((F12*G12)+(H12*I12)),("Need 4 Generation 1"))))</f>
        <v>Need 4 Generation 1</v>
      </c>
    </row>
    <row r="13" spans="1:10" ht="12">
      <c r="A13" s="7" t="s">
        <v>41</v>
      </c>
      <c r="B13" s="4">
        <f>'How many will you sponsor'!$C$12</f>
        <v>1</v>
      </c>
      <c r="C13" s="5">
        <f t="shared" si="1"/>
        <v>36</v>
      </c>
      <c r="D13" s="5"/>
      <c r="E13" s="13"/>
      <c r="F13" s="7">
        <f t="shared" si="0"/>
        <v>12600</v>
      </c>
      <c r="G13" s="11">
        <v>0.1</v>
      </c>
      <c r="H13" s="7">
        <f>C12*$H$3*$H$5</f>
        <v>3600</v>
      </c>
      <c r="I13" s="11">
        <v>0.05</v>
      </c>
      <c r="J13" s="32" t="str">
        <f>IF(B8&lt;3,(0),IF(B12=0,(0),IF($B$9&gt;=5,((F13*G13)+(H13*I13)),("Need 5 Generation 1"))))</f>
        <v>Need 5 Generation 1</v>
      </c>
    </row>
    <row r="14" spans="1:10" ht="12">
      <c r="A14" s="7" t="s">
        <v>42</v>
      </c>
      <c r="B14" s="4">
        <f>'How many will you sponsor'!$C$12</f>
        <v>1</v>
      </c>
      <c r="C14" s="5">
        <f t="shared" si="1"/>
        <v>36</v>
      </c>
      <c r="D14" s="5"/>
      <c r="E14" s="13"/>
      <c r="F14" s="7">
        <f t="shared" si="0"/>
        <v>12600</v>
      </c>
      <c r="G14" s="11">
        <v>0.1</v>
      </c>
      <c r="I14" s="11"/>
      <c r="J14" s="32" t="str">
        <f>IF(B8&lt;3,(0),(IF(F14=0,(0),IF($B$9&gt;=6,((F14*G14)),("Need 6 Generation 1")))))</f>
        <v>Need 6 Generation 1</v>
      </c>
    </row>
    <row r="15" spans="1:10" ht="12">
      <c r="A15" s="7" t="s">
        <v>43</v>
      </c>
      <c r="B15" s="4">
        <f>'How many will you sponsor'!$C$12</f>
        <v>1</v>
      </c>
      <c r="C15" s="5">
        <f t="shared" si="1"/>
        <v>36</v>
      </c>
      <c r="D15" s="5"/>
      <c r="E15" s="13"/>
      <c r="F15" s="7">
        <f t="shared" si="0"/>
        <v>12600</v>
      </c>
      <c r="G15" s="11">
        <v>0.1</v>
      </c>
      <c r="I15" s="11"/>
      <c r="J15" s="32" t="str">
        <f>IF(B8&lt;3,(0),IF(F15=0,(0),IF($B$9&gt;=7,((F15*G15)),("Need 7 Generation 1"))))</f>
        <v>Need 7 Generation 1</v>
      </c>
    </row>
    <row r="16" spans="1:10" ht="12">
      <c r="A16" s="7" t="s">
        <v>29</v>
      </c>
      <c r="C16" s="17">
        <f>SUM(C8:C15)</f>
        <v>264</v>
      </c>
      <c r="E16" s="14">
        <f>IF(D6=" ",(SUM(E8:E15)),("Pak Error"))</f>
        <v>6000</v>
      </c>
      <c r="I16" s="11"/>
      <c r="J16" s="21">
        <f>IF(G38&gt;1000001,("Demo Maxed"),(G38))</f>
        <v>5085</v>
      </c>
    </row>
    <row r="17" spans="3:10" ht="12">
      <c r="C17" s="8"/>
      <c r="E17" s="15"/>
      <c r="I17" s="11"/>
      <c r="J17" s="15"/>
    </row>
    <row r="18" spans="1:10" ht="12">
      <c r="A18" s="16" t="s">
        <v>15</v>
      </c>
      <c r="D18"/>
      <c r="E18"/>
      <c r="F18"/>
      <c r="I18" s="18" t="s">
        <v>35</v>
      </c>
      <c r="J18" s="19">
        <f>J16*12</f>
        <v>61020</v>
      </c>
    </row>
    <row r="19" ht="12">
      <c r="A19" s="16" t="s">
        <v>33</v>
      </c>
    </row>
    <row r="20" spans="1:10" ht="12" customHeight="1">
      <c r="A20" s="46" t="s">
        <v>58</v>
      </c>
      <c r="B20" s="46"/>
      <c r="C20" s="46"/>
      <c r="D20" s="46"/>
      <c r="E20" s="46"/>
      <c r="F20" s="46"/>
      <c r="G20" s="46"/>
      <c r="I20" s="47" t="s">
        <v>32</v>
      </c>
      <c r="J20" s="48"/>
    </row>
    <row r="21" spans="1:10" ht="12" customHeight="1">
      <c r="A21" s="46"/>
      <c r="B21" s="46"/>
      <c r="C21" s="46"/>
      <c r="D21" s="46"/>
      <c r="E21" s="46"/>
      <c r="F21" s="46"/>
      <c r="G21" s="46"/>
      <c r="I21" s="49"/>
      <c r="J21" s="50"/>
    </row>
    <row r="22" spans="1:10" ht="12" customHeight="1">
      <c r="A22" s="46"/>
      <c r="B22" s="46"/>
      <c r="C22" s="46"/>
      <c r="D22" s="46"/>
      <c r="E22" s="46"/>
      <c r="F22" s="46"/>
      <c r="G22" s="46"/>
      <c r="I22" s="49"/>
      <c r="J22" s="50"/>
    </row>
    <row r="23" spans="1:10" ht="12">
      <c r="A23" s="46"/>
      <c r="B23" s="46"/>
      <c r="C23" s="46"/>
      <c r="D23" s="46"/>
      <c r="E23" s="46"/>
      <c r="F23" s="46"/>
      <c r="G23" s="46"/>
      <c r="H23" s="22" t="s">
        <v>66</v>
      </c>
      <c r="I23" s="26">
        <f>'How many will you sponsor'!C18</f>
        <v>0.01</v>
      </c>
      <c r="J23" s="27">
        <f>J16/(I23/12)</f>
        <v>6102000</v>
      </c>
    </row>
    <row r="30" ht="12">
      <c r="G30" s="31"/>
    </row>
    <row r="35" ht="12.75" customHeight="1"/>
    <row r="36" ht="12" hidden="1"/>
    <row r="37" ht="12" hidden="1"/>
    <row r="38" spans="2:7" ht="12" hidden="1">
      <c r="B38" s="7">
        <v>399</v>
      </c>
      <c r="C38" s="7">
        <v>950</v>
      </c>
      <c r="D38" s="7">
        <v>1500</v>
      </c>
      <c r="E38" s="7">
        <v>0</v>
      </c>
      <c r="G38" s="12">
        <f>SUM(J8:J15)</f>
        <v>5085</v>
      </c>
    </row>
    <row r="39" spans="2:5" ht="12" hidden="1">
      <c r="B39" s="7">
        <v>125</v>
      </c>
      <c r="C39" s="7">
        <v>250</v>
      </c>
      <c r="D39" s="7">
        <v>350</v>
      </c>
      <c r="E39" s="7">
        <v>0</v>
      </c>
    </row>
    <row r="40" spans="2:5" ht="12" hidden="1">
      <c r="B40" s="7">
        <v>25</v>
      </c>
      <c r="C40" s="7">
        <v>50</v>
      </c>
      <c r="D40" s="7">
        <v>50</v>
      </c>
      <c r="E40" s="7">
        <v>0</v>
      </c>
    </row>
    <row r="41" spans="2:5" ht="12" hidden="1">
      <c r="B41" s="7">
        <v>0</v>
      </c>
      <c r="C41" s="7">
        <v>0</v>
      </c>
      <c r="D41" s="7">
        <v>0</v>
      </c>
      <c r="E41" s="7">
        <v>0</v>
      </c>
    </row>
    <row r="42" spans="2:5" ht="12" hidden="1">
      <c r="B42" s="7">
        <v>0</v>
      </c>
      <c r="C42" s="7">
        <v>0</v>
      </c>
      <c r="D42" s="7">
        <v>0</v>
      </c>
      <c r="E42" s="7">
        <v>0</v>
      </c>
    </row>
    <row r="43" spans="2:5" ht="12" hidden="1">
      <c r="B43" s="7">
        <v>0</v>
      </c>
      <c r="C43" s="7">
        <v>0</v>
      </c>
      <c r="D43" s="7">
        <v>0</v>
      </c>
      <c r="E43" s="7">
        <v>0</v>
      </c>
    </row>
    <row r="44" spans="2:5" ht="12" hidden="1">
      <c r="B44" s="7">
        <v>0</v>
      </c>
      <c r="C44" s="7">
        <v>0</v>
      </c>
      <c r="D44" s="7">
        <v>0</v>
      </c>
      <c r="E44" s="7">
        <v>0</v>
      </c>
    </row>
    <row r="45" ht="12" hidden="1"/>
  </sheetData>
  <sheetProtection password="8566" sheet="1" objects="1" scenarios="1" selectLockedCells="1" selectUnlockedCells="1"/>
  <mergeCells count="2">
    <mergeCell ref="A20:G23"/>
    <mergeCell ref="I20:J22"/>
  </mergeCells>
  <printOptions horizontalCentered="1"/>
  <pageMargins left="0.58" right="0.5" top="0.5" bottom="0.5" header="0.5" footer="0.5"/>
  <pageSetup fitToHeight="1" fitToWidth="1" orientation="landscape"/>
</worksheet>
</file>

<file path=xl/worksheets/sheet5.xml><?xml version="1.0" encoding="utf-8"?>
<worksheet xmlns="http://schemas.openxmlformats.org/spreadsheetml/2006/main" xmlns:r="http://schemas.openxmlformats.org/officeDocument/2006/relationships">
  <dimension ref="A1:G19"/>
  <sheetViews>
    <sheetView zoomScale="125" zoomScaleNormal="125" workbookViewId="0" topLeftCell="A1">
      <selection activeCell="C6" sqref="C6"/>
    </sheetView>
  </sheetViews>
  <sheetFormatPr defaultColWidth="11.421875" defaultRowHeight="12.75"/>
  <cols>
    <col min="1" max="1" width="10.421875" style="64" customWidth="1"/>
    <col min="2" max="2" width="38.7109375" style="64" customWidth="1"/>
    <col min="3" max="4" width="10.8515625" style="64" customWidth="1"/>
    <col min="5" max="16384" width="10.8515625" style="64" customWidth="1"/>
  </cols>
  <sheetData>
    <row r="1" spans="1:7" ht="15.75">
      <c r="A1" s="63"/>
      <c r="B1" s="63"/>
      <c r="C1" s="63"/>
      <c r="D1" s="63"/>
      <c r="E1" s="63"/>
      <c r="F1" s="63"/>
      <c r="G1" s="63"/>
    </row>
    <row r="2" spans="1:7" ht="15.75">
      <c r="A2" s="63"/>
      <c r="B2" s="63"/>
      <c r="C2" s="63"/>
      <c r="D2" s="63"/>
      <c r="E2" s="63"/>
      <c r="F2" s="63"/>
      <c r="G2" s="63"/>
    </row>
    <row r="3" spans="1:7" ht="15.75">
      <c r="A3" s="63"/>
      <c r="B3" s="63"/>
      <c r="C3" s="63"/>
      <c r="D3" s="63"/>
      <c r="E3" s="63"/>
      <c r="F3" s="63"/>
      <c r="G3" s="63"/>
    </row>
    <row r="4" spans="1:7" ht="15.75">
      <c r="A4" s="63"/>
      <c r="B4" s="63"/>
      <c r="C4" s="63"/>
      <c r="D4" s="63"/>
      <c r="E4" s="63"/>
      <c r="F4" s="63"/>
      <c r="G4" s="63"/>
    </row>
    <row r="5" spans="1:7" ht="15">
      <c r="A5" s="65"/>
      <c r="B5" s="65"/>
      <c r="C5" s="65"/>
      <c r="D5" s="65"/>
      <c r="E5" s="65"/>
      <c r="F5" s="65"/>
      <c r="G5" s="65"/>
    </row>
    <row r="6" spans="1:7" ht="45" customHeight="1">
      <c r="A6" s="65"/>
      <c r="B6" s="66" t="s">
        <v>69</v>
      </c>
      <c r="C6" s="67">
        <v>175</v>
      </c>
      <c r="D6" s="68" t="str">
        <f>IF(C6&lt;50," ERROR must be at least 50 PSV to earn more than Retail Bonus"," ")</f>
        <v> </v>
      </c>
      <c r="E6" s="69"/>
      <c r="F6" s="69"/>
      <c r="G6" s="65"/>
    </row>
    <row r="7" spans="1:7" ht="15">
      <c r="A7" s="65"/>
      <c r="B7" s="65"/>
      <c r="C7" s="65"/>
      <c r="D7" s="65"/>
      <c r="E7" s="65"/>
      <c r="F7" s="65"/>
      <c r="G7" s="65"/>
    </row>
    <row r="8" spans="1:7" ht="45" customHeight="1">
      <c r="A8" s="65"/>
      <c r="B8" s="66" t="s">
        <v>70</v>
      </c>
      <c r="C8" s="67">
        <v>125</v>
      </c>
      <c r="D8" s="70" t="str">
        <f>IF(C8&lt;51,"ERROR: your average must be greater than 50 in order to achieve Xecutive Status"," ")</f>
        <v> </v>
      </c>
      <c r="E8" s="71"/>
      <c r="F8" s="71"/>
      <c r="G8" s="65"/>
    </row>
    <row r="9" spans="1:7" ht="12.75" customHeight="1">
      <c r="A9" s="65"/>
      <c r="B9" s="66"/>
      <c r="C9" s="72"/>
      <c r="D9" s="65"/>
      <c r="E9" s="65"/>
      <c r="F9" s="65"/>
      <c r="G9" s="65"/>
    </row>
    <row r="10" spans="1:7" ht="36.75" customHeight="1">
      <c r="A10" s="65"/>
      <c r="B10" s="66" t="s">
        <v>102</v>
      </c>
      <c r="C10" s="73">
        <f>ROUNDUP((300-HMCsupport!D5)/HMCsupport!D6,0)</f>
        <v>3</v>
      </c>
      <c r="D10" s="74"/>
      <c r="E10" s="74"/>
      <c r="F10" s="74"/>
      <c r="G10" s="65"/>
    </row>
    <row r="11" spans="1:7" ht="15">
      <c r="A11" s="65"/>
      <c r="B11" s="65"/>
      <c r="C11" s="65"/>
      <c r="D11" s="65"/>
      <c r="E11" s="65"/>
      <c r="F11" s="65"/>
      <c r="G11" s="65"/>
    </row>
    <row r="12" spans="1:7" ht="45" customHeight="1">
      <c r="A12" s="65"/>
      <c r="B12" s="66" t="s">
        <v>71</v>
      </c>
      <c r="C12" s="67">
        <v>15</v>
      </c>
      <c r="D12" s="75" t="str">
        <f>IF(C12&lt;C10,"If you gather the required customers above, you make more bonuses as an Xecutive","Congratulations! You are an Xec")</f>
        <v>Congratulations! You are an Xec</v>
      </c>
      <c r="E12" s="76"/>
      <c r="F12" s="76"/>
      <c r="G12" s="65"/>
    </row>
    <row r="13" spans="1:7" ht="15">
      <c r="A13" s="65"/>
      <c r="B13" s="65"/>
      <c r="C13" s="65"/>
      <c r="D13" s="77" t="str">
        <f>IF(C12&gt;11,"12 customers 1st yr. = potential $2,000 bonus*"," ")</f>
        <v>12 customers 1st yr. = potential $2,000 bonus*</v>
      </c>
      <c r="E13" s="78"/>
      <c r="F13" s="65"/>
      <c r="G13" s="65"/>
    </row>
    <row r="14" spans="1:7" ht="45.75" customHeight="1" hidden="1">
      <c r="A14" s="65"/>
      <c r="B14" s="66" t="s">
        <v>72</v>
      </c>
      <c r="C14" s="79">
        <v>0</v>
      </c>
      <c r="D14" s="80" t="str">
        <f>IF(C12&lt;C10,"Become an Xec in order to earn on your personally enrolled Xec's",IF(C14&gt;2,"You are at least an X3 and are eligible for extra bonuses","If you enroll at least 3 Xec's, you will earn extra bonuses"))</f>
        <v>If you enroll at least 3 Xec's, you will earn extra bonuses</v>
      </c>
      <c r="E14" s="80"/>
      <c r="F14" s="80"/>
      <c r="G14" s="65"/>
    </row>
    <row r="15" spans="1:7" ht="9" customHeight="1">
      <c r="A15" s="65"/>
      <c r="B15" s="65"/>
      <c r="C15" s="65"/>
      <c r="D15" s="65"/>
      <c r="E15" s="65"/>
      <c r="F15" s="65"/>
      <c r="G15" s="65"/>
    </row>
    <row r="16" spans="1:7" ht="27" customHeight="1">
      <c r="A16" s="81" t="s">
        <v>73</v>
      </c>
      <c r="B16" s="65"/>
      <c r="C16" s="65"/>
      <c r="D16" s="65"/>
      <c r="E16" s="82">
        <f>HMCsupport!B40</f>
        <v>310</v>
      </c>
      <c r="F16" s="83"/>
      <c r="G16" s="65"/>
    </row>
    <row r="17" spans="1:7" ht="15.75" thickBot="1">
      <c r="A17" s="65"/>
      <c r="B17" s="65"/>
      <c r="C17" s="65"/>
      <c r="D17" s="65"/>
      <c r="E17" s="65"/>
      <c r="F17" s="65"/>
      <c r="G17" s="65"/>
    </row>
    <row r="18" spans="1:7" ht="66" customHeight="1" thickBot="1">
      <c r="A18" s="65"/>
      <c r="B18" s="84" t="s">
        <v>74</v>
      </c>
      <c r="C18" s="85"/>
      <c r="D18" s="85"/>
      <c r="E18" s="85"/>
      <c r="F18" s="86"/>
      <c r="G18" s="65"/>
    </row>
    <row r="19" spans="1:7" ht="15">
      <c r="A19" s="65"/>
      <c r="B19" s="65"/>
      <c r="C19" s="65"/>
      <c r="D19" s="65"/>
      <c r="E19" s="65"/>
      <c r="F19" s="65"/>
      <c r="G19" s="87" t="s">
        <v>75</v>
      </c>
    </row>
  </sheetData>
  <sheetProtection password="8566" sheet="1" objects="1" scenarios="1" selectLockedCells="1"/>
  <mergeCells count="7">
    <mergeCell ref="B18:F18"/>
    <mergeCell ref="D6:F6"/>
    <mergeCell ref="D8:F8"/>
    <mergeCell ref="D10:F10"/>
    <mergeCell ref="D12:F12"/>
    <mergeCell ref="D14:F14"/>
    <mergeCell ref="E16:F16"/>
  </mergeCell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L42"/>
  <sheetViews>
    <sheetView workbookViewId="0" topLeftCell="A1">
      <selection activeCell="B31" sqref="B31"/>
    </sheetView>
  </sheetViews>
  <sheetFormatPr defaultColWidth="11.421875" defaultRowHeight="12.75"/>
  <cols>
    <col min="1" max="1" width="27.421875" style="64" customWidth="1"/>
    <col min="2" max="16384" width="10.8515625" style="64" customWidth="1"/>
  </cols>
  <sheetData>
    <row r="1" spans="1:12" ht="15">
      <c r="A1" s="88"/>
      <c r="B1" s="88"/>
      <c r="C1" s="88"/>
      <c r="D1" s="88"/>
      <c r="E1" s="88"/>
      <c r="F1" s="88"/>
      <c r="G1" s="88"/>
      <c r="H1" s="88"/>
      <c r="I1" s="88"/>
      <c r="J1" s="88"/>
      <c r="K1" s="88"/>
      <c r="L1" s="88"/>
    </row>
    <row r="2" spans="1:12" ht="15">
      <c r="A2" s="88"/>
      <c r="B2" s="88"/>
      <c r="C2" s="88"/>
      <c r="D2" s="88"/>
      <c r="E2" s="88"/>
      <c r="F2" s="88"/>
      <c r="G2" s="88"/>
      <c r="H2" s="88"/>
      <c r="I2" s="88"/>
      <c r="J2" s="88"/>
      <c r="K2" s="88"/>
      <c r="L2" s="88"/>
    </row>
    <row r="3" spans="1:12" ht="15">
      <c r="A3" s="88"/>
      <c r="B3" s="88"/>
      <c r="C3" s="88"/>
      <c r="D3" s="88"/>
      <c r="E3" s="88"/>
      <c r="F3" s="88"/>
      <c r="G3" s="88"/>
      <c r="H3" s="88"/>
      <c r="I3" s="88"/>
      <c r="J3" s="88"/>
      <c r="K3" s="88"/>
      <c r="L3" s="88"/>
    </row>
    <row r="4" spans="1:12" ht="15">
      <c r="A4" s="88"/>
      <c r="B4" s="88"/>
      <c r="C4" s="88"/>
      <c r="D4" s="88"/>
      <c r="E4" s="88"/>
      <c r="F4" s="88"/>
      <c r="G4" s="88"/>
      <c r="H4" s="88"/>
      <c r="I4" s="88"/>
      <c r="J4" s="88"/>
      <c r="K4" s="88"/>
      <c r="L4" s="88"/>
    </row>
    <row r="5" spans="1:12" ht="15">
      <c r="A5" s="88" t="s">
        <v>76</v>
      </c>
      <c r="B5" s="88">
        <f>'How many Customers'!C6</f>
        <v>175</v>
      </c>
      <c r="C5" s="88">
        <f>IF(B5&gt;49,50,B5)</f>
        <v>50</v>
      </c>
      <c r="D5" s="88">
        <f>IF(B5&gt;49,B5-50,0)</f>
        <v>125</v>
      </c>
      <c r="E5" s="88"/>
      <c r="F5" s="88"/>
      <c r="G5" s="88"/>
      <c r="H5" s="88"/>
      <c r="I5" s="88"/>
      <c r="J5" s="88"/>
      <c r="K5" s="88"/>
      <c r="L5" s="88"/>
    </row>
    <row r="6" spans="1:12" ht="15">
      <c r="A6" s="88" t="s">
        <v>77</v>
      </c>
      <c r="B6" s="88">
        <f>'How many Customers'!C8</f>
        <v>125</v>
      </c>
      <c r="C6" s="88">
        <f>IF(B6&gt;49,50,B6)</f>
        <v>50</v>
      </c>
      <c r="D6" s="88">
        <f>IF(B6&gt;49,B6-50,0)</f>
        <v>75</v>
      </c>
      <c r="E6" s="88"/>
      <c r="F6" s="88"/>
      <c r="G6" s="88"/>
      <c r="H6" s="88"/>
      <c r="I6" s="88"/>
      <c r="J6" s="88"/>
      <c r="K6" s="88"/>
      <c r="L6" s="88"/>
    </row>
    <row r="7" spans="1:12" ht="15">
      <c r="A7" s="88" t="s">
        <v>78</v>
      </c>
      <c r="B7" s="88">
        <f>'How many Customers'!C12</f>
        <v>15</v>
      </c>
      <c r="C7" s="88">
        <f>C6*B7</f>
        <v>750</v>
      </c>
      <c r="D7" s="88">
        <f>D6*B7</f>
        <v>1125</v>
      </c>
      <c r="E7" s="88"/>
      <c r="F7" s="88"/>
      <c r="G7" s="88"/>
      <c r="H7" s="88"/>
      <c r="I7" s="88"/>
      <c r="J7" s="88"/>
      <c r="K7" s="88"/>
      <c r="L7" s="88"/>
    </row>
    <row r="8" spans="1:12" ht="15">
      <c r="A8" s="88" t="s">
        <v>79</v>
      </c>
      <c r="B8" s="88">
        <f>B5+(B6*B7)</f>
        <v>2050</v>
      </c>
      <c r="C8" s="88"/>
      <c r="D8" s="88"/>
      <c r="E8" s="88"/>
      <c r="F8" s="88"/>
      <c r="G8" s="88"/>
      <c r="H8" s="88"/>
      <c r="I8" s="88"/>
      <c r="J8" s="88"/>
      <c r="K8" s="88"/>
      <c r="L8" s="88"/>
    </row>
    <row r="9" spans="1:12" ht="15">
      <c r="A9" s="88"/>
      <c r="B9" s="88"/>
      <c r="C9" s="88"/>
      <c r="D9" s="88"/>
      <c r="E9" s="88"/>
      <c r="F9" s="88"/>
      <c r="G9" s="88"/>
      <c r="H9" s="88"/>
      <c r="I9" s="88"/>
      <c r="J9" s="88"/>
      <c r="K9" s="88"/>
      <c r="L9" s="88"/>
    </row>
    <row r="10" spans="1:12" ht="15">
      <c r="A10" s="88"/>
      <c r="B10" s="88"/>
      <c r="C10" s="88"/>
      <c r="D10" s="88"/>
      <c r="E10" s="88"/>
      <c r="F10" s="88"/>
      <c r="G10" s="88"/>
      <c r="H10" s="88"/>
      <c r="I10" s="88"/>
      <c r="J10" s="88"/>
      <c r="K10" s="88"/>
      <c r="L10" s="88"/>
    </row>
    <row r="11" spans="1:12" ht="15">
      <c r="A11" s="88"/>
      <c r="B11" s="88"/>
      <c r="C11" s="88"/>
      <c r="D11" s="88"/>
      <c r="E11" s="88"/>
      <c r="F11" s="88"/>
      <c r="G11" s="88"/>
      <c r="H11" s="88"/>
      <c r="I11" s="88"/>
      <c r="J11" s="88"/>
      <c r="K11" s="88"/>
      <c r="L11" s="88"/>
    </row>
    <row r="12" spans="1:12" ht="15">
      <c r="A12" s="88"/>
      <c r="B12" s="88"/>
      <c r="C12" s="88"/>
      <c r="D12" s="88"/>
      <c r="E12" s="88"/>
      <c r="F12" s="88"/>
      <c r="G12" s="88"/>
      <c r="H12" s="88"/>
      <c r="I12" s="88"/>
      <c r="J12" s="88"/>
      <c r="K12" s="88"/>
      <c r="L12" s="88"/>
    </row>
    <row r="13" spans="1:12" ht="15">
      <c r="A13" s="88" t="s">
        <v>80</v>
      </c>
      <c r="B13" s="88">
        <f>C5</f>
        <v>50</v>
      </c>
      <c r="C13" s="88"/>
      <c r="D13" s="88"/>
      <c r="E13" s="88"/>
      <c r="F13" s="88"/>
      <c r="G13" s="88"/>
      <c r="H13" s="88"/>
      <c r="I13" s="88"/>
      <c r="J13" s="88"/>
      <c r="K13" s="88"/>
      <c r="L13" s="88"/>
    </row>
    <row r="14" spans="1:12" ht="15">
      <c r="A14" s="88" t="s">
        <v>81</v>
      </c>
      <c r="B14" s="88">
        <f>C7</f>
        <v>750</v>
      </c>
      <c r="C14" s="88">
        <v>0.15</v>
      </c>
      <c r="D14" s="88"/>
      <c r="E14" s="88"/>
      <c r="F14" s="88"/>
      <c r="G14" s="88"/>
      <c r="H14" s="88"/>
      <c r="I14" s="88"/>
      <c r="J14" s="88"/>
      <c r="K14" s="88"/>
      <c r="L14" s="88"/>
    </row>
    <row r="15" spans="1:12" ht="15">
      <c r="A15" s="88" t="s">
        <v>82</v>
      </c>
      <c r="B15" s="88">
        <f>B30*C5</f>
        <v>0</v>
      </c>
      <c r="C15" s="88"/>
      <c r="D15" s="88"/>
      <c r="E15" s="88"/>
      <c r="F15" s="88"/>
      <c r="G15" s="88"/>
      <c r="H15" s="88"/>
      <c r="I15" s="88"/>
      <c r="J15" s="88"/>
      <c r="K15" s="88"/>
      <c r="L15" s="88"/>
    </row>
    <row r="16" spans="1:12" ht="15">
      <c r="A16" s="88" t="s">
        <v>83</v>
      </c>
      <c r="B16" s="88">
        <f>B30*B14</f>
        <v>0</v>
      </c>
      <c r="C16" s="89">
        <v>0.1</v>
      </c>
      <c r="D16" s="88"/>
      <c r="E16" s="88"/>
      <c r="F16" s="88"/>
      <c r="G16" s="88"/>
      <c r="H16" s="88"/>
      <c r="I16" s="88"/>
      <c r="J16" s="88"/>
      <c r="K16" s="88"/>
      <c r="L16" s="88"/>
    </row>
    <row r="17" spans="1:12" ht="15">
      <c r="A17" s="88" t="s">
        <v>84</v>
      </c>
      <c r="B17" s="88">
        <f>D7+D5</f>
        <v>1250</v>
      </c>
      <c r="C17" s="88"/>
      <c r="D17" s="88"/>
      <c r="E17" s="88"/>
      <c r="F17" s="88"/>
      <c r="G17" s="88"/>
      <c r="H17" s="88"/>
      <c r="I17" s="88"/>
      <c r="J17" s="88"/>
      <c r="K17" s="88"/>
      <c r="L17" s="88"/>
    </row>
    <row r="18" spans="1:12" ht="15">
      <c r="A18" s="88" t="s">
        <v>85</v>
      </c>
      <c r="B18" s="88">
        <f>IF(B17&gt;299,300,B17)</f>
        <v>300</v>
      </c>
      <c r="C18" s="88"/>
      <c r="D18" s="88"/>
      <c r="E18" s="88"/>
      <c r="F18" s="88"/>
      <c r="G18" s="88"/>
      <c r="H18" s="88"/>
      <c r="I18" s="88"/>
      <c r="J18" s="88"/>
      <c r="K18" s="88"/>
      <c r="L18" s="88"/>
    </row>
    <row r="19" spans="1:12" ht="15">
      <c r="A19" s="88" t="s">
        <v>86</v>
      </c>
      <c r="B19" s="88">
        <f>B17-B18</f>
        <v>950</v>
      </c>
      <c r="C19" s="88">
        <v>0.05</v>
      </c>
      <c r="D19" s="89">
        <v>0.1</v>
      </c>
      <c r="E19" s="88"/>
      <c r="F19" s="88"/>
      <c r="G19" s="88"/>
      <c r="H19" s="88"/>
      <c r="I19" s="88" t="s">
        <v>87</v>
      </c>
      <c r="J19" s="88"/>
      <c r="K19" s="88"/>
      <c r="L19" s="88"/>
    </row>
    <row r="20" spans="1:12" ht="15">
      <c r="A20" s="88" t="s">
        <v>88</v>
      </c>
      <c r="B20" s="88">
        <f>VLOOKUP(B6,I20:J28,2,TRUE)</f>
        <v>10</v>
      </c>
      <c r="C20" s="88"/>
      <c r="D20" s="88"/>
      <c r="E20" s="88"/>
      <c r="F20" s="88"/>
      <c r="G20" s="88"/>
      <c r="H20" s="88"/>
      <c r="I20" s="88">
        <v>0</v>
      </c>
      <c r="J20" s="88">
        <v>5</v>
      </c>
      <c r="K20" s="88"/>
      <c r="L20" s="88"/>
    </row>
    <row r="21" spans="1:12" ht="15">
      <c r="A21" s="88"/>
      <c r="B21" s="88"/>
      <c r="C21" s="88"/>
      <c r="D21" s="88"/>
      <c r="E21" s="88"/>
      <c r="F21" s="88"/>
      <c r="G21" s="88"/>
      <c r="H21" s="88"/>
      <c r="I21" s="88">
        <v>100</v>
      </c>
      <c r="J21" s="88">
        <v>10</v>
      </c>
      <c r="K21" s="88"/>
      <c r="L21" s="88"/>
    </row>
    <row r="22" spans="1:12" ht="15">
      <c r="A22" s="88" t="s">
        <v>89</v>
      </c>
      <c r="B22" s="88">
        <f>IF(C5&gt;49,((B14*C14)+(B15*C14)),0)</f>
        <v>112.5</v>
      </c>
      <c r="C22" s="88"/>
      <c r="D22" s="88"/>
      <c r="E22" s="88"/>
      <c r="F22" s="88"/>
      <c r="G22" s="88"/>
      <c r="H22" s="88"/>
      <c r="I22" s="88">
        <v>150</v>
      </c>
      <c r="J22" s="88">
        <v>15</v>
      </c>
      <c r="K22" s="88"/>
      <c r="L22" s="88"/>
    </row>
    <row r="23" spans="1:12" ht="15">
      <c r="A23" s="88" t="s">
        <v>90</v>
      </c>
      <c r="B23" s="88">
        <f>IF(AND(C5&gt;49,B30&gt;1),B16*C16,0)</f>
        <v>0</v>
      </c>
      <c r="C23" s="88"/>
      <c r="D23" s="88"/>
      <c r="E23" s="88"/>
      <c r="F23" s="88"/>
      <c r="G23" s="88"/>
      <c r="H23" s="88"/>
      <c r="I23" s="88"/>
      <c r="J23" s="88"/>
      <c r="K23" s="88"/>
      <c r="L23" s="88"/>
    </row>
    <row r="24" spans="1:12" ht="15">
      <c r="A24" s="88" t="s">
        <v>91</v>
      </c>
      <c r="B24" s="88">
        <f>IF(C5&gt;49,B19*C19,0)</f>
        <v>47.5</v>
      </c>
      <c r="C24" s="88"/>
      <c r="D24" s="88"/>
      <c r="E24" s="88"/>
      <c r="F24" s="88"/>
      <c r="G24" s="88"/>
      <c r="H24" s="88"/>
      <c r="I24" s="88">
        <v>200</v>
      </c>
      <c r="J24" s="88">
        <v>20</v>
      </c>
      <c r="K24" s="88"/>
      <c r="L24" s="88"/>
    </row>
    <row r="25" spans="1:12" ht="15">
      <c r="A25" s="88" t="s">
        <v>92</v>
      </c>
      <c r="B25" s="88">
        <f>IF(AND(C5&gt;49,B18&gt;299),B30*B18*C19,0)</f>
        <v>0</v>
      </c>
      <c r="C25" s="88"/>
      <c r="D25" s="88"/>
      <c r="E25" s="88"/>
      <c r="F25" s="88"/>
      <c r="G25" s="88"/>
      <c r="H25" s="88"/>
      <c r="I25" s="88"/>
      <c r="J25" s="88"/>
      <c r="K25" s="88"/>
      <c r="L25" s="88"/>
    </row>
    <row r="26" spans="1:12" ht="15">
      <c r="A26" s="88" t="s">
        <v>93</v>
      </c>
      <c r="B26" s="88">
        <f>B20*B7</f>
        <v>150</v>
      </c>
      <c r="C26" s="88"/>
      <c r="D26" s="88"/>
      <c r="E26" s="88"/>
      <c r="F26" s="88"/>
      <c r="G26" s="88"/>
      <c r="H26" s="88"/>
      <c r="I26" s="88">
        <v>250</v>
      </c>
      <c r="J26" s="88">
        <v>25</v>
      </c>
      <c r="K26" s="88"/>
      <c r="L26" s="88"/>
    </row>
    <row r="27" spans="1:12" ht="15">
      <c r="A27" s="88"/>
      <c r="B27" s="88"/>
      <c r="C27" s="88"/>
      <c r="D27" s="88"/>
      <c r="E27" s="88"/>
      <c r="F27" s="88"/>
      <c r="G27" s="88"/>
      <c r="H27" s="88"/>
      <c r="I27" s="88">
        <v>300</v>
      </c>
      <c r="J27" s="88">
        <v>30</v>
      </c>
      <c r="K27" s="88"/>
      <c r="L27" s="88"/>
    </row>
    <row r="28" spans="1:12" ht="15">
      <c r="A28" s="88" t="s">
        <v>94</v>
      </c>
      <c r="B28" s="88">
        <f>SUM(B22:B26)</f>
        <v>310</v>
      </c>
      <c r="C28" s="88"/>
      <c r="D28" s="88"/>
      <c r="E28" s="88"/>
      <c r="F28" s="88"/>
      <c r="G28" s="88"/>
      <c r="H28" s="88"/>
      <c r="I28" s="88">
        <v>350</v>
      </c>
      <c r="J28" s="88">
        <v>35</v>
      </c>
      <c r="K28" s="88"/>
      <c r="L28" s="88"/>
    </row>
    <row r="29" spans="1:12" ht="15">
      <c r="A29" s="88"/>
      <c r="B29" s="88"/>
      <c r="C29" s="88"/>
      <c r="D29" s="88"/>
      <c r="E29" s="88"/>
      <c r="F29" s="88"/>
      <c r="G29" s="88"/>
      <c r="H29" s="88"/>
      <c r="I29" s="88"/>
      <c r="J29" s="88"/>
      <c r="K29" s="88"/>
      <c r="L29" s="88"/>
    </row>
    <row r="30" spans="1:12" ht="15">
      <c r="A30" s="88" t="s">
        <v>95</v>
      </c>
      <c r="B30" s="88">
        <f>'How many Customers'!C14</f>
        <v>0</v>
      </c>
      <c r="C30" s="88"/>
      <c r="D30" s="88"/>
      <c r="E30" s="88"/>
      <c r="F30" s="88"/>
      <c r="G30" s="88"/>
      <c r="H30" s="88"/>
      <c r="I30" s="88"/>
      <c r="J30" s="88"/>
      <c r="K30" s="88"/>
      <c r="L30" s="88"/>
    </row>
    <row r="31" spans="1:12" ht="15">
      <c r="A31" s="88"/>
      <c r="B31" s="88"/>
      <c r="C31" s="88"/>
      <c r="D31" s="88"/>
      <c r="E31" s="88"/>
      <c r="F31" s="88"/>
      <c r="G31" s="88"/>
      <c r="H31" s="88"/>
      <c r="I31" s="88"/>
      <c r="J31" s="88"/>
      <c r="K31" s="88"/>
      <c r="L31" s="88"/>
    </row>
    <row r="32" spans="1:12" ht="15">
      <c r="A32" s="88" t="s">
        <v>96</v>
      </c>
      <c r="B32" s="88">
        <f>B30*B18</f>
        <v>0</v>
      </c>
      <c r="C32" s="88"/>
      <c r="D32" s="88"/>
      <c r="E32" s="88"/>
      <c r="F32" s="88"/>
      <c r="G32" s="88"/>
      <c r="H32" s="88"/>
      <c r="I32" s="88"/>
      <c r="J32" s="88"/>
      <c r="K32" s="88"/>
      <c r="L32" s="88"/>
    </row>
    <row r="33" spans="1:12" ht="15">
      <c r="A33" s="88" t="s">
        <v>97</v>
      </c>
      <c r="B33" s="88">
        <f>B30*B19</f>
        <v>0</v>
      </c>
      <c r="C33" s="88"/>
      <c r="D33" s="88"/>
      <c r="E33" s="88"/>
      <c r="F33" s="88"/>
      <c r="G33" s="88"/>
      <c r="H33" s="88"/>
      <c r="I33" s="88"/>
      <c r="J33" s="88"/>
      <c r="K33" s="88"/>
      <c r="L33" s="88"/>
    </row>
    <row r="34" spans="1:12" ht="15">
      <c r="A34" s="88"/>
      <c r="B34" s="88"/>
      <c r="C34" s="88"/>
      <c r="D34" s="88"/>
      <c r="E34" s="88"/>
      <c r="F34" s="88"/>
      <c r="G34" s="88"/>
      <c r="H34" s="88"/>
      <c r="I34" s="88"/>
      <c r="J34" s="88"/>
      <c r="K34" s="88"/>
      <c r="L34" s="88"/>
    </row>
    <row r="35" spans="1:12" ht="15">
      <c r="A35" s="88" t="s">
        <v>98</v>
      </c>
      <c r="B35" s="88">
        <f>IF(AND(B30&gt;2,C5&gt;49,B18&gt;299),((B32*0.1)+(B19*D19)),0)</f>
        <v>0</v>
      </c>
      <c r="C35" s="88"/>
      <c r="D35" s="88"/>
      <c r="E35" s="88"/>
      <c r="F35" s="88"/>
      <c r="G35" s="88"/>
      <c r="H35" s="88"/>
      <c r="I35" s="88"/>
      <c r="J35" s="88"/>
      <c r="K35" s="88"/>
      <c r="L35" s="88"/>
    </row>
    <row r="36" spans="1:12" ht="15">
      <c r="A36" s="88" t="s">
        <v>99</v>
      </c>
      <c r="B36" s="88">
        <f>IF(AND(B30&gt;2,C5&gt;49,B18&gt;299),B33*D19,0)</f>
        <v>0</v>
      </c>
      <c r="C36" s="88"/>
      <c r="D36" s="88"/>
      <c r="E36" s="88"/>
      <c r="F36" s="88"/>
      <c r="G36" s="88"/>
      <c r="H36" s="88"/>
      <c r="I36" s="88"/>
      <c r="J36" s="88"/>
      <c r="K36" s="88"/>
      <c r="L36" s="88"/>
    </row>
    <row r="37" spans="1:12" ht="15">
      <c r="A37" s="88"/>
      <c r="B37" s="88"/>
      <c r="C37" s="88"/>
      <c r="D37" s="88"/>
      <c r="E37" s="88"/>
      <c r="F37" s="88"/>
      <c r="G37" s="88"/>
      <c r="H37" s="88"/>
      <c r="I37" s="88"/>
      <c r="J37" s="88"/>
      <c r="K37" s="88"/>
      <c r="L37" s="88"/>
    </row>
    <row r="38" spans="1:12" ht="15">
      <c r="A38" s="88" t="s">
        <v>100</v>
      </c>
      <c r="B38" s="88">
        <f>B35+B36</f>
        <v>0</v>
      </c>
      <c r="C38" s="88"/>
      <c r="D38" s="88"/>
      <c r="E38" s="88"/>
      <c r="F38" s="88"/>
      <c r="G38" s="88"/>
      <c r="H38" s="88"/>
      <c r="I38" s="88"/>
      <c r="J38" s="88"/>
      <c r="K38" s="88"/>
      <c r="L38" s="88"/>
    </row>
    <row r="39" spans="1:12" ht="15">
      <c r="A39" s="88"/>
      <c r="B39" s="88"/>
      <c r="C39" s="88"/>
      <c r="D39" s="88"/>
      <c r="E39" s="88"/>
      <c r="F39" s="88"/>
      <c r="G39" s="88"/>
      <c r="H39" s="88"/>
      <c r="I39" s="88"/>
      <c r="J39" s="88"/>
      <c r="K39" s="88"/>
      <c r="L39" s="88"/>
    </row>
    <row r="40" spans="1:12" ht="15">
      <c r="A40" s="88" t="s">
        <v>101</v>
      </c>
      <c r="B40" s="88">
        <f>B28+B38</f>
        <v>310</v>
      </c>
      <c r="C40" s="88"/>
      <c r="D40" s="88"/>
      <c r="E40" s="88"/>
      <c r="F40" s="88"/>
      <c r="G40" s="88"/>
      <c r="H40" s="88"/>
      <c r="I40" s="88"/>
      <c r="J40" s="88"/>
      <c r="K40" s="88"/>
      <c r="L40" s="88"/>
    </row>
    <row r="41" spans="1:12" ht="15">
      <c r="A41" s="88"/>
      <c r="B41" s="88"/>
      <c r="C41" s="88"/>
      <c r="D41" s="88"/>
      <c r="E41" s="88"/>
      <c r="F41" s="88"/>
      <c r="G41" s="88"/>
      <c r="H41" s="88"/>
      <c r="I41" s="88"/>
      <c r="J41" s="88"/>
      <c r="K41" s="88"/>
      <c r="L41" s="88"/>
    </row>
    <row r="42" spans="1:12" ht="15">
      <c r="A42" s="88"/>
      <c r="B42" s="88"/>
      <c r="C42" s="88"/>
      <c r="D42" s="88"/>
      <c r="E42" s="88"/>
      <c r="F42" s="88"/>
      <c r="G42" s="88"/>
      <c r="H42" s="88"/>
      <c r="I42" s="88"/>
      <c r="J42" s="88"/>
      <c r="K42" s="88"/>
      <c r="L42" s="88"/>
    </row>
  </sheetData>
  <sheetProtection password="8566" sheet="1" objects="1" scenarios="1" select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Melyn Campbell</cp:lastModifiedBy>
  <cp:lastPrinted>2015-08-12T15:37:44Z</cp:lastPrinted>
  <dcterms:created xsi:type="dcterms:W3CDTF">2008-01-16T14:01:55Z</dcterms:created>
  <dcterms:modified xsi:type="dcterms:W3CDTF">2017-05-18T19:35:08Z</dcterms:modified>
  <cp:category/>
  <cp:version/>
  <cp:contentType/>
  <cp:contentStatus/>
</cp:coreProperties>
</file>